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4741" yWindow="135" windowWidth="12120" windowHeight="9120" activeTab="4"/>
  </bookViews>
  <sheets>
    <sheet name="Informe" sheetId="1" r:id="rId1"/>
    <sheet name="Tabla A1" sheetId="2" r:id="rId2"/>
    <sheet name="Tabla A2" sheetId="3" r:id="rId3"/>
    <sheet name="Tabla A3" sheetId="4" r:id="rId4"/>
    <sheet name="tabla A5" sheetId="5" r:id="rId5"/>
    <sheet name="Lecturas" sheetId="6" r:id="rId6"/>
    <sheet name="Auxiliar" sheetId="7" r:id="rId7"/>
  </sheets>
  <definedNames>
    <definedName name="_xlnm.Print_Area" localSheetId="4">'tabla A5'!$A$1:$I$54</definedName>
    <definedName name="CargaMaximaTransCal">'Informe'!$C$15</definedName>
    <definedName name="CargaMaximaTransPat">'Informe'!$C$31</definedName>
    <definedName name="Certificado">'Informe'!#REF!</definedName>
    <definedName name="FechaCalibracion">'Informe'!#REF!</definedName>
    <definedName name="Instrumento">'Informe'!$C$11</definedName>
    <definedName name="MarcaIndCal">'Informe'!$G$12</definedName>
    <definedName name="MarcaIndPat">'Informe'!$G$28</definedName>
    <definedName name="MarcaTransCal">'Informe'!$C$12</definedName>
    <definedName name="MarcaTransPat">'Informe'!$C$28</definedName>
    <definedName name="ModeloIndCal">'Informe'!$G$13</definedName>
    <definedName name="ModeloIndPat">'Informe'!$G$29</definedName>
    <definedName name="ModeloTransCal">'Informe'!$C$13</definedName>
    <definedName name="ModeloTransPat">'Informe'!$C$29</definedName>
    <definedName name="NormaCalibracion">'Informe'!#REF!</definedName>
    <definedName name="Peticionario">'Informe'!#REF!</definedName>
    <definedName name="SerieIndCal">'Informe'!$G$14</definedName>
    <definedName name="SerieIndPatron">'Informe'!$G$30</definedName>
    <definedName name="SerieTransCal">'Informe'!$C$14</definedName>
    <definedName name="SerieTransPat">'Informe'!$C$30</definedName>
    <definedName name="Tecnico">'Informe'!$C$44</definedName>
    <definedName name="Temperatura">'Informe'!$H$42</definedName>
    <definedName name="TipoCalibracion">'Informe'!#REF!</definedName>
    <definedName name="UniCargaMaximaTransCal">'Informe'!$D$15</definedName>
  </definedNames>
  <calcPr fullCalcOnLoad="1"/>
</workbook>
</file>

<file path=xl/sharedStrings.xml><?xml version="1.0" encoding="utf-8"?>
<sst xmlns="http://schemas.openxmlformats.org/spreadsheetml/2006/main" count="187" uniqueCount="140">
  <si>
    <t>Carga( KN)</t>
  </si>
  <si>
    <t>Carga ( Kg)</t>
  </si>
  <si>
    <t>SERIE 1</t>
  </si>
  <si>
    <t>SERIE 2</t>
  </si>
  <si>
    <t>SERIE 3</t>
  </si>
  <si>
    <t>Indicacion</t>
  </si>
  <si>
    <t>tiempo</t>
  </si>
  <si>
    <t>VALOR MEDIO</t>
  </si>
  <si>
    <t>KN</t>
  </si>
  <si>
    <t>f=</t>
  </si>
  <si>
    <t>Ind ref</t>
  </si>
  <si>
    <t xml:space="preserve">Ind </t>
  </si>
  <si>
    <t>Error (v)</t>
  </si>
  <si>
    <t>E.M.P.</t>
  </si>
  <si>
    <t>Error de la Célula de carga</t>
  </si>
  <si>
    <t>Cambio (v)</t>
  </si>
  <si>
    <t>E.M.P (v)</t>
  </si>
  <si>
    <t>Diferencia 20-30 min</t>
  </si>
  <si>
    <t>mpc (v)</t>
  </si>
  <si>
    <t>Cmdlor</t>
  </si>
  <si>
    <r>
      <t>f=(Indicación Media en 75% (E</t>
    </r>
    <r>
      <rPr>
        <vertAlign val="subscript"/>
        <sz val="10"/>
        <rFont val="Arial"/>
        <family val="2"/>
      </rPr>
      <t>max</t>
    </r>
    <r>
      <rPr>
        <sz val="10"/>
        <rFont val="Arial"/>
        <family val="0"/>
      </rPr>
      <t xml:space="preserve"> -E</t>
    </r>
    <r>
      <rPr>
        <vertAlign val="subscript"/>
        <sz val="10"/>
        <rFont val="Arial"/>
        <family val="2"/>
      </rPr>
      <t>min</t>
    </r>
    <r>
      <rPr>
        <sz val="10"/>
        <rFont val="Arial"/>
        <family val="0"/>
      </rPr>
      <t>)- Indicación Media en E</t>
    </r>
    <r>
      <rPr>
        <vertAlign val="subscript"/>
        <sz val="10"/>
        <rFont val="Arial"/>
        <family val="2"/>
      </rPr>
      <t>min</t>
    </r>
    <r>
      <rPr>
        <sz val="10"/>
        <rFont val="Arial"/>
        <family val="0"/>
      </rPr>
      <t>)/0,75*n</t>
    </r>
  </si>
  <si>
    <t>75% (Emax -Emin)=</t>
  </si>
  <si>
    <t>Tipo:</t>
  </si>
  <si>
    <t>Indicador digital</t>
  </si>
  <si>
    <t>Marca:</t>
  </si>
  <si>
    <t>Modelo:</t>
  </si>
  <si>
    <t>NºSerie:</t>
  </si>
  <si>
    <t>Capacidad nom.:</t>
  </si>
  <si>
    <t>Resolucion:</t>
  </si>
  <si>
    <t>Accesorios:</t>
  </si>
  <si>
    <t>Unidades:</t>
  </si>
  <si>
    <t>mV/V</t>
  </si>
  <si>
    <t>kN</t>
  </si>
  <si>
    <t>Accesorios de aplic. Carga:</t>
  </si>
  <si>
    <t>Condic. Ambientales:</t>
  </si>
  <si>
    <t>Técnicos:</t>
  </si>
  <si>
    <t>Series de calibracion</t>
  </si>
  <si>
    <t>Precargas</t>
  </si>
  <si>
    <t>Puntos individuales</t>
  </si>
  <si>
    <t>Ensayo de Creep</t>
  </si>
  <si>
    <t>Escalón de verificación (v)</t>
  </si>
  <si>
    <t>Tensión de excitación:</t>
  </si>
  <si>
    <t>clase de exactitud:</t>
  </si>
  <si>
    <t>Sensibilidad nominal:</t>
  </si>
  <si>
    <t>inicio</t>
  </si>
  <si>
    <t>final</t>
  </si>
  <si>
    <t>Fecha</t>
  </si>
  <si>
    <t>Hora</t>
  </si>
  <si>
    <t>Inicio</t>
  </si>
  <si>
    <t>Final:</t>
  </si>
  <si>
    <t>Temperatura:</t>
  </si>
  <si>
    <t>*Nota:Si la carga de ensayo correspondiente al 75% del rango de medida para la célula de carga ensayada, con cargas crecientes, no está incluida en las cargas de ensayo utilizadas en esta tabla, se deberá interpolar entre los valores adyacentes más alto y más bajo de la media de los tres ciclos</t>
  </si>
  <si>
    <t>TABLA A.1</t>
  </si>
  <si>
    <t>( Determinación del creep y retorno de la señal de salida a carga mínima (DR).):</t>
  </si>
  <si>
    <t>Precargas iniciales:</t>
  </si>
  <si>
    <r>
      <t>n</t>
    </r>
    <r>
      <rPr>
        <u val="single"/>
        <vertAlign val="subscript"/>
        <sz val="11"/>
        <rFont val="Times New Roman"/>
        <family val="1"/>
      </rPr>
      <t>max</t>
    </r>
    <r>
      <rPr>
        <u val="single"/>
        <sz val="11"/>
        <rFont val="Times New Roman"/>
        <family val="1"/>
      </rPr>
      <t xml:space="preserve"> :</t>
    </r>
  </si>
  <si>
    <t>Indicador asociado:</t>
  </si>
  <si>
    <t>Descripción del sistema de generación de fuerza empleado:</t>
  </si>
  <si>
    <t>Marca o Empresa fabricante:</t>
  </si>
  <si>
    <t>Instrumento a verificar:</t>
  </si>
  <si>
    <t>Instrumento Patrón:</t>
  </si>
  <si>
    <t>TABLA A.2</t>
  </si>
  <si>
    <t>Resultado de la verificación</t>
  </si>
  <si>
    <t>Error de Repetibilidad:</t>
  </si>
  <si>
    <t>TABLA A.3</t>
  </si>
  <si>
    <t>TABLA A.5</t>
  </si>
  <si>
    <t>Resultados de la Verificación:</t>
  </si>
  <si>
    <t>Gráfica de error de la célula de carga:</t>
  </si>
  <si>
    <t>Gráfica de error de repetibilidad:</t>
  </si>
  <si>
    <t>Gráfica de error de creep:</t>
  </si>
  <si>
    <t>según OIML R60</t>
  </si>
  <si>
    <t>10/15 V</t>
  </si>
  <si>
    <t>2mV/V</t>
  </si>
  <si>
    <t>HBM</t>
  </si>
  <si>
    <t>MGCPlus</t>
  </si>
  <si>
    <t xml:space="preserve">864069              </t>
  </si>
  <si>
    <t>Z4</t>
  </si>
  <si>
    <t>030630019</t>
  </si>
  <si>
    <t>Transductor de fuerza</t>
  </si>
  <si>
    <t>1/27/03</t>
  </si>
  <si>
    <t>21ºC</t>
  </si>
  <si>
    <t>20,6ºC</t>
  </si>
  <si>
    <t>Kg</t>
  </si>
  <si>
    <t xml:space="preserve">Máquina de calibración de fuerzas de tipo: " Por comparación" </t>
  </si>
  <si>
    <t>Microtest S.A</t>
  </si>
  <si>
    <t>Plato de compresión.</t>
  </si>
  <si>
    <t>Machón adaptador en acero bonificado M30x2 / M30x2</t>
  </si>
  <si>
    <t>Clase:</t>
  </si>
  <si>
    <t>OO</t>
  </si>
  <si>
    <t>nº control</t>
  </si>
  <si>
    <t>Expediente:</t>
  </si>
  <si>
    <t>Nº de Objeto de Ensayo:</t>
  </si>
  <si>
    <t>de</t>
  </si>
  <si>
    <t>Solicitante:</t>
  </si>
  <si>
    <t>Dirección:</t>
  </si>
  <si>
    <t>Localidad:</t>
  </si>
  <si>
    <t>Provincia:</t>
  </si>
  <si>
    <t>CP:</t>
  </si>
  <si>
    <t>VERIFICACIÓN DE CÉLULAS DE CARGA TIPO C Y D</t>
  </si>
  <si>
    <t>CLASE C (3)</t>
  </si>
  <si>
    <t>CLASE D (4)</t>
  </si>
  <si>
    <t>E.M.P</t>
  </si>
  <si>
    <r>
      <t>E.M.P   (</t>
    </r>
    <r>
      <rPr>
        <b/>
        <sz val="9"/>
        <rFont val="Arial"/>
        <family val="2"/>
      </rPr>
      <t>P</t>
    </r>
    <r>
      <rPr>
        <b/>
        <vertAlign val="subscript"/>
        <sz val="9"/>
        <rFont val="Arial"/>
        <family val="2"/>
      </rPr>
      <t>LC</t>
    </r>
    <r>
      <rPr>
        <b/>
        <sz val="9"/>
        <rFont val="Arial"/>
        <family val="2"/>
      </rPr>
      <t>)=0,7</t>
    </r>
  </si>
  <si>
    <t>0&lt;=m&lt;=500 v</t>
  </si>
  <si>
    <t>0&lt;=m&lt;=50 v</t>
  </si>
  <si>
    <r>
      <t>P</t>
    </r>
    <r>
      <rPr>
        <b/>
        <vertAlign val="subscript"/>
        <sz val="8"/>
        <rFont val="Arial"/>
        <family val="2"/>
      </rPr>
      <t xml:space="preserve">LC </t>
    </r>
    <r>
      <rPr>
        <sz val="8"/>
        <rFont val="Arial"/>
        <family val="2"/>
      </rPr>
      <t>*0,5v</t>
    </r>
  </si>
  <si>
    <t>0,35 v</t>
  </si>
  <si>
    <t>500 v &lt;m&lt;=2000 v</t>
  </si>
  <si>
    <t>50 v &lt;m&lt;=200 v</t>
  </si>
  <si>
    <r>
      <t>P</t>
    </r>
    <r>
      <rPr>
        <b/>
        <vertAlign val="subscript"/>
        <sz val="8"/>
        <rFont val="Arial"/>
        <family val="2"/>
      </rPr>
      <t xml:space="preserve">LC </t>
    </r>
    <r>
      <rPr>
        <sz val="8"/>
        <rFont val="Arial"/>
        <family val="2"/>
      </rPr>
      <t>*1,0v</t>
    </r>
  </si>
  <si>
    <t>0,7 v</t>
  </si>
  <si>
    <t>2000&lt; m &lt;=10000 v</t>
  </si>
  <si>
    <t>200 &lt; m &lt;= 1000 v</t>
  </si>
  <si>
    <r>
      <t>P</t>
    </r>
    <r>
      <rPr>
        <b/>
        <vertAlign val="subscript"/>
        <sz val="8"/>
        <rFont val="Arial"/>
        <family val="2"/>
      </rPr>
      <t xml:space="preserve">LC </t>
    </r>
    <r>
      <rPr>
        <sz val="8"/>
        <rFont val="Arial"/>
        <family val="2"/>
      </rPr>
      <t>*1,5v</t>
    </r>
  </si>
  <si>
    <t>1,05 v</t>
  </si>
  <si>
    <r>
      <t xml:space="preserve">   </t>
    </r>
    <r>
      <rPr>
        <b/>
        <sz val="12"/>
        <rFont val="Times New Roman"/>
        <family val="1"/>
      </rPr>
      <t>Errores máximos permitidos de la célula de carga:</t>
    </r>
  </si>
  <si>
    <t>Valores de:</t>
  </si>
  <si>
    <r>
      <t>Alcance máximo (E</t>
    </r>
    <r>
      <rPr>
        <u val="single"/>
        <vertAlign val="subscript"/>
        <sz val="11"/>
        <rFont val="Times New Roman"/>
        <family val="1"/>
      </rPr>
      <t>max</t>
    </r>
    <r>
      <rPr>
        <u val="single"/>
        <sz val="11"/>
        <rFont val="Times New Roman"/>
        <family val="1"/>
      </rPr>
      <t>):</t>
    </r>
  </si>
  <si>
    <r>
      <t>Mínima carga muerta (E</t>
    </r>
    <r>
      <rPr>
        <u val="single"/>
        <vertAlign val="subscript"/>
        <sz val="11"/>
        <rFont val="Times New Roman"/>
        <family val="1"/>
      </rPr>
      <t>min</t>
    </r>
    <r>
      <rPr>
        <u val="single"/>
        <sz val="11"/>
        <rFont val="Times New Roman"/>
        <family val="1"/>
      </rPr>
      <t>):</t>
    </r>
  </si>
  <si>
    <r>
      <t>Escalón mín verificación (v</t>
    </r>
    <r>
      <rPr>
        <u val="single"/>
        <vertAlign val="subscript"/>
        <sz val="11"/>
        <rFont val="Times New Roman"/>
        <family val="1"/>
      </rPr>
      <t>min</t>
    </r>
    <r>
      <rPr>
        <u val="single"/>
        <sz val="11"/>
        <rFont val="Times New Roman"/>
        <family val="1"/>
      </rPr>
      <t>):</t>
    </r>
  </si>
  <si>
    <r>
      <t>(P</t>
    </r>
    <r>
      <rPr>
        <vertAlign val="subscript"/>
        <sz val="11"/>
        <rFont val="Times New Roman"/>
        <family val="1"/>
      </rPr>
      <t>LC</t>
    </r>
    <r>
      <rPr>
        <sz val="11"/>
        <rFont val="Times New Roman"/>
        <family val="1"/>
      </rPr>
      <t>)=</t>
    </r>
  </si>
  <si>
    <t>Aceleración de la gravedad Local</t>
  </si>
  <si>
    <t>Carga (Kg)</t>
  </si>
  <si>
    <t>Carga (KN)</t>
  </si>
  <si>
    <t>Puntos de calibración</t>
  </si>
  <si>
    <t>Valores de referencia</t>
  </si>
  <si>
    <t>Series de medidas de ensayo 1 (Ensayo con cargas crecientes-decrecientes):</t>
  </si>
  <si>
    <t>CLASE A (1)</t>
  </si>
  <si>
    <t>CLASE B (2)</t>
  </si>
  <si>
    <t>0&lt;=m&lt;=50000 v</t>
  </si>
  <si>
    <t>0&lt;=m&lt;=5000v</t>
  </si>
  <si>
    <t>50000 v &lt;m&lt;=200000 v</t>
  </si>
  <si>
    <t>5000 v &lt;m&lt;=20000 v</t>
  </si>
  <si>
    <t>200000&lt;m</t>
  </si>
  <si>
    <t>20000 &lt; m &lt;= 100000 v</t>
  </si>
  <si>
    <t>Ind.Med 75% (Emax -Emin)=</t>
  </si>
  <si>
    <t>PARA CALCULAR Ind.Med 75% (Emax -Emin)</t>
  </si>
  <si>
    <t>C</t>
  </si>
  <si>
    <t>D</t>
  </si>
  <si>
    <t>CLASE DE CÉLULA</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</si>
</sst>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a_-;\-* #,##0\ _p_t_a_-;_-* &quot;-&quot;\ _p_t_a_-;_-@_-"/>
    <numFmt numFmtId="173" formatCode="_-* #,##0.00\ _p_t_a_-;\-* #,##0.00\ _p_t_a_-;_-* &quot;-&quot;??\ _p_t_a_-;_-@_-"/>
    <numFmt numFmtId="174" formatCode="0.00000"/>
    <numFmt numFmtId="175" formatCode="&quot;Sí&quot;;&quot;Sí&quot;;&quot;No&quot;"/>
    <numFmt numFmtId="176" formatCode="&quot;Verdadero&quot;;&quot;Verdadero&quot;;&quot;Falso&quot;"/>
    <numFmt numFmtId="177" formatCode="&quot;Activado&quot;;&quot;Activado&quot;;&quot;Desactivado&quot;"/>
    <numFmt numFmtId="178" formatCode="0.0"/>
    <numFmt numFmtId="179" formatCode="0.000"/>
    <numFmt numFmtId="180" formatCode="00000"/>
    <numFmt numFmtId="181" formatCode="0.0000"/>
    <numFmt numFmtId="182" formatCode="0.0000000000"/>
    <numFmt numFmtId="183" formatCode="0.000000000"/>
    <numFmt numFmtId="184" formatCode="0.00000000"/>
    <numFmt numFmtId="185" formatCode="0.0000000"/>
    <numFmt numFmtId="186" formatCode="0.000000"/>
  </numFmts>
  <fonts count="41">
    <font>
      <sz val="10"/>
      <name val="Arial"/>
      <family val="0"/>
    </font>
    <font>
      <b/>
      <sz val="8"/>
      <name val="Arial"/>
      <family val="2"/>
    </font>
    <font>
      <sz val="9"/>
      <name val="Arial"/>
      <family val="2"/>
    </font>
    <font>
      <b/>
      <sz val="10"/>
      <name val="Arial"/>
      <family val="2"/>
    </font>
    <font>
      <u val="single"/>
      <sz val="10"/>
      <color indexed="12"/>
      <name val="Arial"/>
      <family val="0"/>
    </font>
    <font>
      <u val="single"/>
      <sz val="10"/>
      <color indexed="36"/>
      <name val="Arial"/>
      <family val="0"/>
    </font>
    <font>
      <vertAlign val="subscript"/>
      <sz val="10"/>
      <name val="Arial"/>
      <family val="2"/>
    </font>
    <font>
      <b/>
      <u val="single"/>
      <sz val="10"/>
      <name val="Arial"/>
      <family val="2"/>
    </font>
    <font>
      <sz val="10"/>
      <name val="Times New Roman"/>
      <family val="1"/>
    </font>
    <font>
      <b/>
      <sz val="11"/>
      <name val="Times New Roman"/>
      <family val="1"/>
    </font>
    <font>
      <sz val="11"/>
      <name val="Times New Roman"/>
      <family val="1"/>
    </font>
    <font>
      <b/>
      <u val="single"/>
      <sz val="11"/>
      <name val="Times New Roman"/>
      <family val="1"/>
    </font>
    <font>
      <sz val="12"/>
      <name val="Times New Roman"/>
      <family val="1"/>
    </font>
    <font>
      <b/>
      <sz val="12"/>
      <name val="Times New Roman"/>
      <family val="1"/>
    </font>
    <font>
      <u val="single"/>
      <sz val="11"/>
      <name val="Times New Roman"/>
      <family val="1"/>
    </font>
    <font>
      <u val="single"/>
      <vertAlign val="subscript"/>
      <sz val="11"/>
      <name val="Times New Roman"/>
      <family val="1"/>
    </font>
    <font>
      <b/>
      <sz val="13"/>
      <name val="Times New Roman"/>
      <family val="1"/>
    </font>
    <font>
      <sz val="9.25"/>
      <name val="Arial"/>
      <family val="2"/>
    </font>
    <font>
      <b/>
      <sz val="12"/>
      <name val="Arial"/>
      <family val="0"/>
    </font>
    <font>
      <b/>
      <sz val="11.25"/>
      <name val="Arial"/>
      <family val="0"/>
    </font>
    <font>
      <sz val="11.25"/>
      <name val="Arial"/>
      <family val="0"/>
    </font>
    <font>
      <sz val="16.75"/>
      <name val="Arial"/>
      <family val="0"/>
    </font>
    <font>
      <sz val="11"/>
      <name val="Arial"/>
      <family val="0"/>
    </font>
    <font>
      <sz val="8.25"/>
      <name val="Arial"/>
      <family val="2"/>
    </font>
    <font>
      <b/>
      <sz val="11.5"/>
      <name val="Arial"/>
      <family val="0"/>
    </font>
    <font>
      <b/>
      <sz val="10.25"/>
      <name val="Arial"/>
      <family val="0"/>
    </font>
    <font>
      <sz val="10"/>
      <color indexed="10"/>
      <name val="Arial"/>
      <family val="0"/>
    </font>
    <font>
      <sz val="11"/>
      <color indexed="10"/>
      <name val="Times New Roman"/>
      <family val="1"/>
    </font>
    <font>
      <sz val="12"/>
      <name val="Arial Black"/>
      <family val="2"/>
    </font>
    <font>
      <sz val="8"/>
      <name val="Times New Roman"/>
      <family val="1"/>
    </font>
    <font>
      <b/>
      <i/>
      <sz val="10"/>
      <name val="Times New Roman"/>
      <family val="1"/>
    </font>
    <font>
      <i/>
      <sz val="10"/>
      <name val="Times New Roman"/>
      <family val="1"/>
    </font>
    <font>
      <i/>
      <sz val="8"/>
      <name val="Times New Roman"/>
      <family val="1"/>
    </font>
    <font>
      <b/>
      <sz val="10"/>
      <name val="Times New Roman"/>
      <family val="1"/>
    </font>
    <font>
      <b/>
      <sz val="9"/>
      <name val="Arial"/>
      <family val="2"/>
    </font>
    <font>
      <b/>
      <vertAlign val="subscript"/>
      <sz val="9"/>
      <name val="Arial"/>
      <family val="2"/>
    </font>
    <font>
      <sz val="8"/>
      <name val="Arial"/>
      <family val="2"/>
    </font>
    <font>
      <b/>
      <vertAlign val="subscript"/>
      <sz val="8"/>
      <name val="Arial"/>
      <family val="2"/>
    </font>
    <font>
      <sz val="7"/>
      <name val="Times New Roman"/>
      <family val="1"/>
    </font>
    <font>
      <vertAlign val="subscript"/>
      <sz val="11"/>
      <name val="Times New Roman"/>
      <family val="1"/>
    </font>
    <font>
      <sz val="8"/>
      <name val="Tahoma"/>
      <family val="2"/>
    </font>
  </fonts>
  <fills count="9">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40"/>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6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style="thin"/>
      <top>
        <color indexed="63"/>
      </top>
      <bottom style="thin"/>
    </border>
    <border>
      <left style="thin"/>
      <right style="medium"/>
      <top style="thin"/>
      <bottom style="medium"/>
    </border>
    <border>
      <left style="thin"/>
      <right style="medium"/>
      <top style="thin"/>
      <bottom style="thin"/>
    </border>
    <border>
      <left style="medium"/>
      <right style="thin"/>
      <top style="thin"/>
      <bottom style="mediu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style="thin"/>
      <right style="medium"/>
      <top style="medium"/>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style="medium"/>
    </border>
    <border>
      <left style="thin"/>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thin"/>
      <top style="thin"/>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style="thin"/>
      <top>
        <color indexed="63"/>
      </top>
      <bottom style="thin"/>
    </border>
    <border>
      <left style="thin"/>
      <right style="medium"/>
      <top>
        <color indexed="63"/>
      </top>
      <bottom style="thin"/>
    </border>
    <border>
      <left style="medium"/>
      <right style="thin"/>
      <top style="medium"/>
      <bottom>
        <color indexed="63"/>
      </bottom>
    </border>
    <border>
      <left style="medium"/>
      <right>
        <color indexed="63"/>
      </right>
      <top style="thin"/>
      <bottom>
        <color indexed="63"/>
      </bottom>
    </border>
    <border>
      <left style="medium"/>
      <right style="medium"/>
      <top style="medium"/>
      <bottom style="thin"/>
    </border>
    <border>
      <left style="medium"/>
      <right style="thin"/>
      <top style="thin"/>
      <bottom style="thin"/>
    </border>
    <border>
      <left style="medium"/>
      <right style="thin"/>
      <top>
        <color indexed="63"/>
      </top>
      <bottom style="thin"/>
    </border>
    <border>
      <left>
        <color indexed="63"/>
      </left>
      <right style="thin"/>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mediu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9" fontId="0" fillId="0" borderId="0" applyFont="0" applyFill="0" applyBorder="0" applyAlignment="0" applyProtection="0"/>
  </cellStyleXfs>
  <cellXfs count="256">
    <xf numFmtId="0" fontId="0" fillId="0" borderId="0" xfId="0" applyAlignment="1">
      <alignment/>
    </xf>
    <xf numFmtId="0" fontId="0" fillId="0" borderId="1" xfId="0" applyBorder="1" applyAlignment="1">
      <alignment/>
    </xf>
    <xf numFmtId="0" fontId="0" fillId="0" borderId="2" xfId="0" applyFont="1" applyBorder="1" applyAlignment="1">
      <alignment horizontal="center"/>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2" borderId="0" xfId="0" applyFill="1" applyAlignment="1">
      <alignment/>
    </xf>
    <xf numFmtId="0" fontId="0" fillId="0" borderId="0" xfId="0" applyFill="1" applyBorder="1" applyAlignment="1">
      <alignment/>
    </xf>
    <xf numFmtId="0" fontId="0" fillId="0" borderId="0" xfId="0" applyBorder="1" applyAlignment="1">
      <alignment horizontal="center"/>
    </xf>
    <xf numFmtId="0" fontId="0" fillId="3" borderId="0" xfId="0" applyFill="1" applyAlignment="1">
      <alignment/>
    </xf>
    <xf numFmtId="0" fontId="3"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Alignment="1">
      <alignment/>
    </xf>
    <xf numFmtId="0" fontId="0" fillId="0" borderId="0" xfId="0" applyAlignment="1">
      <alignment horizontal="center"/>
    </xf>
    <xf numFmtId="0" fontId="0" fillId="0" borderId="1" xfId="0" applyBorder="1" applyAlignment="1">
      <alignment horizontal="center"/>
    </xf>
    <xf numFmtId="0" fontId="0" fillId="0" borderId="8" xfId="0" applyFont="1" applyFill="1" applyBorder="1" applyAlignment="1">
      <alignment horizontal="center"/>
    </xf>
    <xf numFmtId="21" fontId="0" fillId="0" borderId="1" xfId="0" applyNumberFormat="1" applyBorder="1" applyAlignment="1">
      <alignment horizontal="center"/>
    </xf>
    <xf numFmtId="0" fontId="0" fillId="0" borderId="4" xfId="0" applyBorder="1" applyAlignment="1">
      <alignment horizontal="center"/>
    </xf>
    <xf numFmtId="21" fontId="0" fillId="0" borderId="4" xfId="0" applyNumberFormat="1" applyBorder="1" applyAlignment="1">
      <alignment horizontal="center"/>
    </xf>
    <xf numFmtId="0" fontId="3" fillId="4" borderId="9" xfId="0" applyFont="1" applyFill="1" applyBorder="1" applyAlignment="1">
      <alignment/>
    </xf>
    <xf numFmtId="0" fontId="0" fillId="0" borderId="10" xfId="0" applyBorder="1" applyAlignment="1">
      <alignment horizontal="center"/>
    </xf>
    <xf numFmtId="0" fontId="3" fillId="3" borderId="11" xfId="0" applyFont="1" applyFill="1" applyBorder="1" applyAlignment="1">
      <alignment horizontal="center" wrapText="1"/>
    </xf>
    <xf numFmtId="0" fontId="3" fillId="3" borderId="12" xfId="0" applyFont="1" applyFill="1" applyBorder="1" applyAlignment="1">
      <alignment horizontal="center" wrapText="1"/>
    </xf>
    <xf numFmtId="0" fontId="0" fillId="0" borderId="7" xfId="0" applyBorder="1" applyAlignment="1">
      <alignment horizontal="right"/>
    </xf>
    <xf numFmtId="0" fontId="0" fillId="3" borderId="7" xfId="0" applyFill="1" applyBorder="1" applyAlignment="1">
      <alignment horizontal="center"/>
    </xf>
    <xf numFmtId="0" fontId="10" fillId="0" borderId="0" xfId="0" applyNumberFormat="1" applyFont="1" applyBorder="1" applyAlignment="1">
      <alignment/>
    </xf>
    <xf numFmtId="0" fontId="10" fillId="0" borderId="13" xfId="0" applyNumberFormat="1" applyFont="1" applyBorder="1" applyAlignment="1">
      <alignment/>
    </xf>
    <xf numFmtId="0" fontId="10" fillId="0" borderId="14" xfId="0" applyNumberFormat="1" applyFont="1" applyBorder="1" applyAlignment="1">
      <alignment/>
    </xf>
    <xf numFmtId="0" fontId="10" fillId="0" borderId="15" xfId="0" applyNumberFormat="1" applyFont="1" applyBorder="1" applyAlignment="1">
      <alignment/>
    </xf>
    <xf numFmtId="0" fontId="10" fillId="0" borderId="16" xfId="0" applyNumberFormat="1" applyFont="1" applyBorder="1" applyAlignment="1">
      <alignment/>
    </xf>
    <xf numFmtId="0" fontId="10" fillId="0" borderId="17" xfId="0" applyNumberFormat="1" applyFont="1" applyBorder="1" applyAlignment="1">
      <alignment/>
    </xf>
    <xf numFmtId="0" fontId="10" fillId="0" borderId="18" xfId="0" applyNumberFormat="1" applyFont="1" applyBorder="1" applyAlignment="1">
      <alignment/>
    </xf>
    <xf numFmtId="0" fontId="10" fillId="0" borderId="19" xfId="0" applyNumberFormat="1" applyFont="1" applyBorder="1" applyAlignment="1">
      <alignment/>
    </xf>
    <xf numFmtId="0" fontId="10" fillId="0" borderId="20" xfId="0" applyNumberFormat="1" applyFont="1" applyBorder="1" applyAlignment="1">
      <alignment/>
    </xf>
    <xf numFmtId="0" fontId="10" fillId="0" borderId="19" xfId="0" applyNumberFormat="1" applyFont="1" applyBorder="1" applyAlignment="1">
      <alignment horizontal="right"/>
    </xf>
    <xf numFmtId="0" fontId="10" fillId="0" borderId="21" xfId="0" applyNumberFormat="1" applyFont="1" applyBorder="1" applyAlignment="1">
      <alignment/>
    </xf>
    <xf numFmtId="0" fontId="10" fillId="0" borderId="22" xfId="0" applyNumberFormat="1" applyFont="1" applyBorder="1" applyAlignment="1">
      <alignment/>
    </xf>
    <xf numFmtId="0" fontId="10" fillId="0" borderId="23" xfId="0" applyNumberFormat="1" applyFont="1" applyBorder="1" applyAlignment="1">
      <alignment/>
    </xf>
    <xf numFmtId="0" fontId="10" fillId="0" borderId="24" xfId="0" applyNumberFormat="1" applyFont="1" applyBorder="1" applyAlignment="1">
      <alignment/>
    </xf>
    <xf numFmtId="0" fontId="10" fillId="0" borderId="25" xfId="0" applyNumberFormat="1" applyFont="1" applyBorder="1" applyAlignment="1">
      <alignment/>
    </xf>
    <xf numFmtId="0" fontId="10" fillId="0" borderId="26" xfId="0" applyNumberFormat="1" applyFont="1" applyBorder="1" applyAlignment="1">
      <alignment/>
    </xf>
    <xf numFmtId="0" fontId="10" fillId="0" borderId="27" xfId="0" applyNumberFormat="1" applyFont="1" applyBorder="1" applyAlignment="1">
      <alignment/>
    </xf>
    <xf numFmtId="0" fontId="10" fillId="0" borderId="28" xfId="0" applyNumberFormat="1" applyFont="1" applyBorder="1" applyAlignment="1">
      <alignment/>
    </xf>
    <xf numFmtId="0" fontId="10" fillId="0" borderId="29" xfId="0" applyNumberFormat="1" applyFont="1" applyBorder="1" applyAlignment="1">
      <alignment/>
    </xf>
    <xf numFmtId="0" fontId="10" fillId="0" borderId="30" xfId="0" applyNumberFormat="1" applyFont="1" applyBorder="1" applyAlignment="1">
      <alignment/>
    </xf>
    <xf numFmtId="0" fontId="10" fillId="0" borderId="31" xfId="0" applyNumberFormat="1" applyFont="1" applyBorder="1" applyAlignment="1">
      <alignment/>
    </xf>
    <xf numFmtId="0" fontId="10" fillId="0" borderId="32" xfId="0" applyNumberFormat="1" applyFont="1" applyBorder="1" applyAlignment="1">
      <alignment/>
    </xf>
    <xf numFmtId="0" fontId="10" fillId="0" borderId="33" xfId="0" applyNumberFormat="1" applyFont="1" applyBorder="1" applyAlignment="1">
      <alignment/>
    </xf>
    <xf numFmtId="0" fontId="10" fillId="0" borderId="2" xfId="0" applyNumberFormat="1" applyFont="1" applyBorder="1" applyAlignment="1">
      <alignment/>
    </xf>
    <xf numFmtId="0" fontId="10" fillId="0" borderId="34" xfId="0" applyNumberFormat="1" applyFont="1" applyBorder="1" applyAlignment="1">
      <alignment/>
    </xf>
    <xf numFmtId="0" fontId="10" fillId="0" borderId="3" xfId="0" applyNumberFormat="1" applyFont="1" applyBorder="1" applyAlignment="1">
      <alignment/>
    </xf>
    <xf numFmtId="0" fontId="10" fillId="0" borderId="8" xfId="0" applyNumberFormat="1" applyFont="1" applyBorder="1" applyAlignment="1">
      <alignment/>
    </xf>
    <xf numFmtId="0" fontId="10" fillId="0" borderId="6" xfId="0" applyNumberFormat="1" applyFont="1" applyBorder="1" applyAlignment="1">
      <alignment/>
    </xf>
    <xf numFmtId="0" fontId="10" fillId="0" borderId="4" xfId="0" applyNumberFormat="1" applyFont="1" applyBorder="1" applyAlignment="1">
      <alignment/>
    </xf>
    <xf numFmtId="0" fontId="9" fillId="0" borderId="35" xfId="0" applyNumberFormat="1" applyFont="1" applyBorder="1" applyAlignment="1">
      <alignment/>
    </xf>
    <xf numFmtId="0" fontId="9" fillId="0" borderId="36" xfId="0" applyNumberFormat="1" applyFont="1" applyBorder="1" applyAlignment="1">
      <alignment/>
    </xf>
    <xf numFmtId="0" fontId="9" fillId="0" borderId="37" xfId="0" applyNumberFormat="1" applyFont="1" applyBorder="1" applyAlignment="1">
      <alignment/>
    </xf>
    <xf numFmtId="0" fontId="10" fillId="0" borderId="38" xfId="0" applyNumberFormat="1" applyFont="1" applyBorder="1" applyAlignment="1">
      <alignment/>
    </xf>
    <xf numFmtId="0" fontId="10" fillId="0" borderId="39" xfId="0" applyNumberFormat="1" applyFont="1" applyBorder="1" applyAlignment="1">
      <alignment/>
    </xf>
    <xf numFmtId="0" fontId="0" fillId="3" borderId="40" xfId="0" applyFill="1" applyBorder="1" applyAlignment="1">
      <alignment/>
    </xf>
    <xf numFmtId="0" fontId="3" fillId="3" borderId="40" xfId="0" applyFont="1" applyFill="1" applyBorder="1" applyAlignment="1">
      <alignment horizontal="center" wrapText="1"/>
    </xf>
    <xf numFmtId="0" fontId="1" fillId="3" borderId="11"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0" fillId="0" borderId="3" xfId="0" applyBorder="1" applyAlignment="1">
      <alignment horizontal="center"/>
    </xf>
    <xf numFmtId="0" fontId="0" fillId="0" borderId="14" xfId="0" applyBorder="1" applyAlignment="1">
      <alignment/>
    </xf>
    <xf numFmtId="0" fontId="0" fillId="0" borderId="23" xfId="0" applyBorder="1" applyAlignment="1">
      <alignment horizontal="center"/>
    </xf>
    <xf numFmtId="0" fontId="0" fillId="0" borderId="41" xfId="0" applyBorder="1" applyAlignment="1">
      <alignment/>
    </xf>
    <xf numFmtId="0" fontId="0" fillId="0" borderId="25" xfId="0" applyBorder="1" applyAlignment="1">
      <alignment horizontal="center"/>
    </xf>
    <xf numFmtId="0" fontId="0" fillId="0" borderId="11" xfId="0" applyBorder="1" applyAlignment="1">
      <alignment horizontal="center"/>
    </xf>
    <xf numFmtId="0" fontId="3" fillId="3" borderId="35" xfId="0" applyFont="1" applyFill="1" applyBorder="1" applyAlignment="1">
      <alignment horizontal="center"/>
    </xf>
    <xf numFmtId="0" fontId="3" fillId="3" borderId="9" xfId="0" applyFont="1" applyFill="1" applyBorder="1" applyAlignment="1">
      <alignment horizontal="center"/>
    </xf>
    <xf numFmtId="0" fontId="0" fillId="3" borderId="35" xfId="0" applyFill="1" applyBorder="1" applyAlignment="1">
      <alignment horizontal="center" vertical="center"/>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9" xfId="0" applyFont="1" applyFill="1" applyBorder="1" applyAlignment="1">
      <alignment horizontal="center" wrapText="1"/>
    </xf>
    <xf numFmtId="0" fontId="0" fillId="0" borderId="34" xfId="0" applyBorder="1" applyAlignment="1">
      <alignment horizontal="center"/>
    </xf>
    <xf numFmtId="0" fontId="0" fillId="0" borderId="14" xfId="0" applyBorder="1" applyAlignment="1">
      <alignment horizontal="center"/>
    </xf>
    <xf numFmtId="0" fontId="1" fillId="3" borderId="44" xfId="0" applyFont="1" applyFill="1" applyBorder="1" applyAlignment="1">
      <alignment vertical="center"/>
    </xf>
    <xf numFmtId="0" fontId="1" fillId="3" borderId="45" xfId="0" applyFont="1" applyFill="1" applyBorder="1" applyAlignment="1">
      <alignment horizontal="center" vertical="center"/>
    </xf>
    <xf numFmtId="21" fontId="0" fillId="0" borderId="3" xfId="0" applyNumberFormat="1" applyBorder="1" applyAlignment="1">
      <alignment horizontal="center"/>
    </xf>
    <xf numFmtId="0" fontId="0" fillId="2" borderId="34" xfId="0" applyFill="1" applyBorder="1" applyAlignment="1">
      <alignment horizontal="center"/>
    </xf>
    <xf numFmtId="0" fontId="1" fillId="3" borderId="40" xfId="0" applyFont="1" applyFill="1" applyBorder="1" applyAlignment="1">
      <alignment horizontal="center" vertical="center"/>
    </xf>
    <xf numFmtId="0" fontId="0" fillId="0" borderId="19" xfId="0" applyNumberFormat="1" applyBorder="1" applyAlignment="1">
      <alignment/>
    </xf>
    <xf numFmtId="20" fontId="10" fillId="0" borderId="2" xfId="0" applyNumberFormat="1" applyFont="1" applyBorder="1" applyAlignment="1">
      <alignment horizontal="center"/>
    </xf>
    <xf numFmtId="20" fontId="10" fillId="0" borderId="34" xfId="0" applyNumberFormat="1" applyFont="1" applyBorder="1" applyAlignment="1">
      <alignment horizontal="center"/>
    </xf>
    <xf numFmtId="0" fontId="10" fillId="0" borderId="8" xfId="0" applyNumberFormat="1" applyFont="1" applyBorder="1" applyAlignment="1">
      <alignment horizontal="center"/>
    </xf>
    <xf numFmtId="0" fontId="10" fillId="0" borderId="37" xfId="0" applyNumberFormat="1" applyFont="1" applyBorder="1" applyAlignment="1">
      <alignment/>
    </xf>
    <xf numFmtId="0" fontId="10" fillId="0" borderId="46" xfId="0" applyNumberFormat="1" applyFont="1" applyBorder="1" applyAlignment="1">
      <alignment/>
    </xf>
    <xf numFmtId="0" fontId="0" fillId="0" borderId="16" xfId="0" applyNumberFormat="1" applyBorder="1" applyAlignment="1">
      <alignment/>
    </xf>
    <xf numFmtId="0" fontId="0" fillId="0" borderId="47" xfId="0" applyNumberFormat="1" applyBorder="1" applyAlignment="1">
      <alignment/>
    </xf>
    <xf numFmtId="0" fontId="0" fillId="0" borderId="47" xfId="0" applyNumberFormat="1" applyBorder="1" applyAlignment="1">
      <alignment horizontal="right"/>
    </xf>
    <xf numFmtId="0" fontId="0" fillId="0" borderId="16" xfId="0" applyNumberFormat="1" applyBorder="1" applyAlignment="1">
      <alignment horizontal="left"/>
    </xf>
    <xf numFmtId="0" fontId="0" fillId="0" borderId="19" xfId="0" applyNumberFormat="1" applyBorder="1" applyAlignment="1">
      <alignment horizontal="left"/>
    </xf>
    <xf numFmtId="0" fontId="0" fillId="0" borderId="47" xfId="0" applyNumberFormat="1" applyBorder="1" applyAlignment="1">
      <alignment horizontal="left"/>
    </xf>
    <xf numFmtId="21" fontId="0" fillId="0" borderId="0" xfId="0" applyNumberFormat="1" applyAlignment="1">
      <alignment/>
    </xf>
    <xf numFmtId="0" fontId="0" fillId="5" borderId="0" xfId="0" applyFill="1" applyAlignment="1">
      <alignment/>
    </xf>
    <xf numFmtId="0" fontId="0" fillId="5" borderId="0" xfId="0" applyFill="1" applyAlignment="1">
      <alignment horizontal="center"/>
    </xf>
    <xf numFmtId="0" fontId="26" fillId="6" borderId="0" xfId="0" applyFont="1" applyFill="1" applyAlignment="1">
      <alignment/>
    </xf>
    <xf numFmtId="0" fontId="27" fillId="6" borderId="0" xfId="0" applyNumberFormat="1" applyFont="1" applyFill="1" applyBorder="1" applyAlignment="1">
      <alignment/>
    </xf>
    <xf numFmtId="0" fontId="0" fillId="6" borderId="0" xfId="0" applyFill="1" applyAlignment="1">
      <alignment/>
    </xf>
    <xf numFmtId="0" fontId="10" fillId="6" borderId="0" xfId="0" applyNumberFormat="1" applyFont="1" applyFill="1" applyBorder="1" applyAlignment="1">
      <alignment/>
    </xf>
    <xf numFmtId="0" fontId="9" fillId="6" borderId="35" xfId="0" applyNumberFormat="1" applyFont="1" applyFill="1" applyBorder="1" applyAlignment="1">
      <alignment/>
    </xf>
    <xf numFmtId="0" fontId="10" fillId="6" borderId="13" xfId="0" applyNumberFormat="1" applyFont="1" applyFill="1" applyBorder="1" applyAlignment="1">
      <alignment/>
    </xf>
    <xf numFmtId="0" fontId="10" fillId="6" borderId="14" xfId="0" applyNumberFormat="1" applyFont="1" applyFill="1" applyBorder="1" applyAlignment="1">
      <alignment/>
    </xf>
    <xf numFmtId="0" fontId="9" fillId="6" borderId="13" xfId="0" applyNumberFormat="1" applyFont="1" applyFill="1" applyBorder="1" applyAlignment="1">
      <alignment/>
    </xf>
    <xf numFmtId="0" fontId="10" fillId="6" borderId="0" xfId="0" applyNumberFormat="1" applyFont="1" applyFill="1" applyBorder="1" applyAlignment="1">
      <alignment horizontal="right"/>
    </xf>
    <xf numFmtId="0" fontId="12" fillId="6" borderId="0" xfId="0" applyFont="1" applyFill="1" applyAlignment="1">
      <alignment horizontal="justify"/>
    </xf>
    <xf numFmtId="0" fontId="0" fillId="6" borderId="0" xfId="0" applyNumberFormat="1" applyFill="1" applyBorder="1" applyAlignment="1">
      <alignment/>
    </xf>
    <xf numFmtId="0" fontId="0" fillId="6" borderId="0" xfId="0" applyFill="1" applyAlignment="1">
      <alignment/>
    </xf>
    <xf numFmtId="0" fontId="9" fillId="0" borderId="0" xfId="0" applyNumberFormat="1" applyFont="1" applyBorder="1" applyAlignment="1">
      <alignment/>
    </xf>
    <xf numFmtId="0" fontId="10" fillId="6" borderId="0" xfId="0" applyNumberFormat="1" applyFont="1" applyFill="1" applyBorder="1" applyAlignment="1">
      <alignment horizontal="center"/>
    </xf>
    <xf numFmtId="0" fontId="13" fillId="6" borderId="0" xfId="0" applyNumberFormat="1" applyFont="1" applyFill="1" applyBorder="1" applyAlignment="1">
      <alignment/>
    </xf>
    <xf numFmtId="0" fontId="0" fillId="6" borderId="0" xfId="0" applyFill="1" applyAlignment="1">
      <alignment horizontal="center"/>
    </xf>
    <xf numFmtId="0" fontId="10" fillId="6" borderId="0" xfId="0" applyFont="1" applyFill="1" applyAlignment="1">
      <alignment/>
    </xf>
    <xf numFmtId="0" fontId="9" fillId="6" borderId="0" xfId="0" applyFont="1" applyFill="1" applyAlignment="1">
      <alignment/>
    </xf>
    <xf numFmtId="0" fontId="8" fillId="6" borderId="0" xfId="0" applyFont="1" applyFill="1" applyAlignment="1">
      <alignment/>
    </xf>
    <xf numFmtId="0" fontId="7" fillId="6" borderId="0" xfId="0" applyFont="1" applyFill="1" applyAlignment="1">
      <alignment/>
    </xf>
    <xf numFmtId="0" fontId="0" fillId="6" borderId="1" xfId="0" applyFill="1" applyBorder="1" applyAlignment="1">
      <alignment/>
    </xf>
    <xf numFmtId="0" fontId="0" fillId="6" borderId="4" xfId="0" applyFill="1" applyBorder="1" applyAlignment="1">
      <alignment horizontal="center"/>
    </xf>
    <xf numFmtId="0" fontId="11" fillId="6" borderId="0" xfId="0" applyFont="1" applyFill="1" applyAlignment="1">
      <alignment/>
    </xf>
    <xf numFmtId="0" fontId="0" fillId="6" borderId="0" xfId="0" applyFill="1" applyBorder="1" applyAlignment="1">
      <alignment horizontal="right"/>
    </xf>
    <xf numFmtId="0" fontId="1" fillId="6" borderId="1" xfId="0" applyFont="1" applyFill="1" applyBorder="1" applyAlignment="1">
      <alignment/>
    </xf>
    <xf numFmtId="0" fontId="3" fillId="6" borderId="1" xfId="0" applyFont="1" applyFill="1" applyBorder="1" applyAlignment="1">
      <alignment horizontal="center"/>
    </xf>
    <xf numFmtId="0" fontId="0" fillId="6" borderId="0" xfId="0" applyFill="1" applyBorder="1" applyAlignment="1">
      <alignment/>
    </xf>
    <xf numFmtId="0" fontId="0" fillId="6" borderId="1" xfId="0" applyFont="1" applyFill="1" applyBorder="1" applyAlignment="1">
      <alignment horizontal="center"/>
    </xf>
    <xf numFmtId="0" fontId="3" fillId="6" borderId="0" xfId="0" applyFont="1" applyFill="1" applyBorder="1" applyAlignment="1">
      <alignment horizontal="right"/>
    </xf>
    <xf numFmtId="0" fontId="3" fillId="6" borderId="0" xfId="0" applyFont="1" applyFill="1" applyBorder="1" applyAlignment="1">
      <alignment/>
    </xf>
    <xf numFmtId="0" fontId="0" fillId="6" borderId="0" xfId="0" applyFont="1" applyFill="1" applyBorder="1" applyAlignment="1">
      <alignment horizontal="center"/>
    </xf>
    <xf numFmtId="0" fontId="0" fillId="6" borderId="0" xfId="0" applyFont="1" applyFill="1" applyBorder="1" applyAlignment="1">
      <alignment/>
    </xf>
    <xf numFmtId="0" fontId="0" fillId="6" borderId="6" xfId="0" applyFill="1" applyBorder="1" applyAlignment="1">
      <alignment horizontal="center"/>
    </xf>
    <xf numFmtId="0" fontId="3" fillId="6" borderId="0" xfId="0" applyFont="1" applyFill="1" applyBorder="1" applyAlignment="1">
      <alignment horizontal="center" wrapText="1"/>
    </xf>
    <xf numFmtId="0" fontId="0" fillId="6" borderId="0" xfId="0" applyFill="1" applyAlignment="1">
      <alignment horizontal="left"/>
    </xf>
    <xf numFmtId="0" fontId="0" fillId="0" borderId="1" xfId="0" applyFill="1" applyBorder="1" applyAlignment="1">
      <alignment horizontal="left"/>
    </xf>
    <xf numFmtId="0" fontId="0" fillId="5" borderId="0" xfId="0" applyFill="1" applyBorder="1" applyAlignment="1">
      <alignment/>
    </xf>
    <xf numFmtId="0" fontId="0" fillId="5" borderId="0" xfId="0" applyFill="1" applyBorder="1" applyAlignment="1">
      <alignment horizontal="center"/>
    </xf>
    <xf numFmtId="0" fontId="2" fillId="5" borderId="0" xfId="0" applyFont="1" applyFill="1" applyBorder="1" applyAlignment="1">
      <alignment/>
    </xf>
    <xf numFmtId="0" fontId="3" fillId="5" borderId="0" xfId="0" applyFont="1" applyFill="1" applyBorder="1" applyAlignment="1">
      <alignment horizontal="center"/>
    </xf>
    <xf numFmtId="0" fontId="26" fillId="6" borderId="0" xfId="0" applyFont="1" applyFill="1" applyBorder="1" applyAlignment="1">
      <alignment/>
    </xf>
    <xf numFmtId="0" fontId="29" fillId="0" borderId="1" xfId="21" applyFont="1" applyFill="1" applyBorder="1" applyAlignment="1" applyProtection="1">
      <alignment horizontal="center" vertical="center"/>
      <protection locked="0"/>
    </xf>
    <xf numFmtId="0" fontId="31" fillId="0" borderId="1" xfId="21" applyFont="1" applyFill="1" applyBorder="1" applyAlignment="1">
      <alignment horizontal="right" vertical="center" wrapText="1"/>
      <protection/>
    </xf>
    <xf numFmtId="0" fontId="29" fillId="0" borderId="1" xfId="21" applyFont="1" applyFill="1" applyBorder="1" applyAlignment="1">
      <alignment horizontal="center" vertical="center"/>
      <protection/>
    </xf>
    <xf numFmtId="180" fontId="29" fillId="0" borderId="1" xfId="21" applyNumberFormat="1" applyFont="1" applyFill="1" applyBorder="1" applyAlignment="1" applyProtection="1">
      <alignment horizontal="left" vertical="center"/>
      <protection locked="0"/>
    </xf>
    <xf numFmtId="0" fontId="29" fillId="6" borderId="0" xfId="21" applyFont="1" applyFill="1" applyBorder="1" applyAlignment="1">
      <alignment horizontal="center" vertical="center"/>
      <protection/>
    </xf>
    <xf numFmtId="0" fontId="29" fillId="5" borderId="0" xfId="21" applyFont="1" applyFill="1" applyBorder="1" applyAlignment="1">
      <alignment horizontal="center" vertical="center"/>
      <protection/>
    </xf>
    <xf numFmtId="0" fontId="28" fillId="6" borderId="0" xfId="0" applyFont="1" applyFill="1" applyAlignment="1">
      <alignment/>
    </xf>
    <xf numFmtId="0" fontId="30" fillId="6" borderId="0" xfId="21" applyFont="1" applyFill="1" applyAlignment="1">
      <alignment horizontal="center" vertical="center"/>
      <protection/>
    </xf>
    <xf numFmtId="0" fontId="32" fillId="6" borderId="0" xfId="21" applyFont="1" applyFill="1" applyBorder="1" applyAlignment="1">
      <alignment horizontal="center" vertical="center"/>
      <protection/>
    </xf>
    <xf numFmtId="0" fontId="33" fillId="6" borderId="0" xfId="21" applyFont="1" applyFill="1" applyBorder="1" applyAlignment="1">
      <alignment horizontal="left" vertical="center"/>
      <protection/>
    </xf>
    <xf numFmtId="0" fontId="33" fillId="6" borderId="0" xfId="21" applyFont="1" applyFill="1" applyAlignment="1">
      <alignment horizontal="left" vertical="center"/>
      <protection/>
    </xf>
    <xf numFmtId="0" fontId="33" fillId="6" borderId="0" xfId="21" applyFont="1" applyFill="1" applyAlignment="1">
      <alignment horizontal="right" vertical="center"/>
      <protection/>
    </xf>
    <xf numFmtId="0" fontId="32" fillId="6" borderId="0" xfId="21" applyFont="1" applyFill="1" applyBorder="1" applyAlignment="1">
      <alignment horizontal="right" vertical="center" wrapText="1"/>
      <protection/>
    </xf>
    <xf numFmtId="0" fontId="29" fillId="6" borderId="0" xfId="21" applyFont="1" applyFill="1" applyBorder="1" applyAlignment="1">
      <alignment vertical="center"/>
      <protection/>
    </xf>
    <xf numFmtId="0" fontId="29" fillId="6" borderId="0" xfId="21" applyFont="1" applyFill="1" applyBorder="1" applyAlignment="1" applyProtection="1">
      <alignment horizontal="center" vertical="center"/>
      <protection locked="0"/>
    </xf>
    <xf numFmtId="0" fontId="31" fillId="6" borderId="0" xfId="21" applyFont="1" applyFill="1" applyAlignment="1">
      <alignment horizontal="right" vertical="center" wrapText="1"/>
      <protection/>
    </xf>
    <xf numFmtId="0" fontId="29" fillId="6" borderId="0" xfId="21" applyFont="1" applyFill="1" applyBorder="1" applyAlignment="1" applyProtection="1">
      <alignment horizontal="left" vertical="center"/>
      <protection locked="0"/>
    </xf>
    <xf numFmtId="0" fontId="36" fillId="0" borderId="5" xfId="0" applyFont="1" applyBorder="1" applyAlignment="1">
      <alignment horizontal="center" wrapText="1"/>
    </xf>
    <xf numFmtId="0" fontId="36" fillId="0" borderId="48" xfId="0" applyFont="1" applyBorder="1" applyAlignment="1">
      <alignment horizontal="center" wrapText="1"/>
    </xf>
    <xf numFmtId="0" fontId="1" fillId="0" borderId="48" xfId="0" applyFont="1" applyBorder="1" applyAlignment="1">
      <alignment horizontal="center" wrapText="1"/>
    </xf>
    <xf numFmtId="0" fontId="3" fillId="7" borderId="1" xfId="0" applyFont="1" applyFill="1" applyBorder="1" applyAlignment="1">
      <alignment horizontal="center" vertical="center" wrapText="1"/>
    </xf>
    <xf numFmtId="0" fontId="0" fillId="0" borderId="1" xfId="0" applyFill="1" applyBorder="1" applyAlignment="1">
      <alignment/>
    </xf>
    <xf numFmtId="0" fontId="0" fillId="0" borderId="49" xfId="0" applyBorder="1" applyAlignment="1">
      <alignment/>
    </xf>
    <xf numFmtId="0" fontId="1" fillId="3" borderId="1" xfId="0" applyFont="1" applyFill="1" applyBorder="1" applyAlignment="1">
      <alignment horizontal="center"/>
    </xf>
    <xf numFmtId="0" fontId="3" fillId="3" borderId="1" xfId="0" applyFont="1" applyFill="1" applyBorder="1" applyAlignment="1">
      <alignment horizontal="center"/>
    </xf>
    <xf numFmtId="0" fontId="3" fillId="0" borderId="50" xfId="0" applyFont="1" applyBorder="1" applyAlignment="1">
      <alignment horizontal="center" vertical="center"/>
    </xf>
    <xf numFmtId="0" fontId="3" fillId="0" borderId="43" xfId="0" applyFont="1" applyBorder="1" applyAlignment="1">
      <alignment horizontal="center" vertical="center"/>
    </xf>
    <xf numFmtId="0" fontId="10" fillId="6" borderId="15" xfId="0" applyNumberFormat="1" applyFont="1" applyFill="1" applyBorder="1" applyAlignment="1">
      <alignment/>
    </xf>
    <xf numFmtId="0" fontId="10" fillId="6" borderId="18" xfId="0" applyNumberFormat="1" applyFont="1" applyFill="1" applyBorder="1" applyAlignment="1">
      <alignment/>
    </xf>
    <xf numFmtId="0" fontId="10" fillId="6" borderId="51" xfId="0" applyNumberFormat="1" applyFont="1" applyFill="1" applyBorder="1" applyAlignment="1">
      <alignment/>
    </xf>
    <xf numFmtId="0" fontId="14" fillId="6" borderId="35" xfId="0" applyNumberFormat="1" applyFont="1" applyFill="1" applyBorder="1" applyAlignment="1">
      <alignment/>
    </xf>
    <xf numFmtId="0" fontId="14" fillId="6" borderId="37" xfId="0" applyNumberFormat="1" applyFont="1" applyFill="1" applyBorder="1" applyAlignment="1">
      <alignment/>
    </xf>
    <xf numFmtId="0" fontId="14" fillId="6" borderId="37" xfId="0" applyFont="1" applyFill="1" applyBorder="1" applyAlignment="1">
      <alignment/>
    </xf>
    <xf numFmtId="0" fontId="14" fillId="6" borderId="46" xfId="0" applyNumberFormat="1" applyFont="1" applyFill="1" applyBorder="1" applyAlignment="1">
      <alignment/>
    </xf>
    <xf numFmtId="0" fontId="10" fillId="6" borderId="24" xfId="0" applyNumberFormat="1" applyFont="1" applyFill="1" applyBorder="1" applyAlignment="1">
      <alignment/>
    </xf>
    <xf numFmtId="0" fontId="10" fillId="6" borderId="23" xfId="0" applyNumberFormat="1" applyFont="1" applyFill="1" applyBorder="1" applyAlignment="1">
      <alignment/>
    </xf>
    <xf numFmtId="0" fontId="10" fillId="6" borderId="25" xfId="0" applyNumberFormat="1" applyFont="1" applyFill="1" applyBorder="1" applyAlignment="1">
      <alignment/>
    </xf>
    <xf numFmtId="0" fontId="10" fillId="0" borderId="38" xfId="0" applyNumberFormat="1" applyFont="1" applyBorder="1" applyAlignment="1">
      <alignment horizontal="right"/>
    </xf>
    <xf numFmtId="0" fontId="10" fillId="0" borderId="0" xfId="0" applyNumberFormat="1" applyFont="1" applyFill="1" applyBorder="1" applyAlignment="1">
      <alignment/>
    </xf>
    <xf numFmtId="0" fontId="10" fillId="0" borderId="7" xfId="0" applyNumberFormat="1" applyFont="1" applyBorder="1" applyAlignment="1">
      <alignment/>
    </xf>
    <xf numFmtId="0" fontId="10" fillId="6" borderId="46" xfId="0" applyNumberFormat="1" applyFont="1" applyFill="1" applyBorder="1" applyAlignment="1">
      <alignment/>
    </xf>
    <xf numFmtId="0" fontId="10" fillId="0" borderId="6" xfId="0" applyNumberFormat="1" applyFont="1" applyFill="1" applyBorder="1" applyAlignment="1">
      <alignment horizontal="left"/>
    </xf>
    <xf numFmtId="0" fontId="0" fillId="6" borderId="23" xfId="0" applyFill="1" applyBorder="1" applyAlignment="1">
      <alignment/>
    </xf>
    <xf numFmtId="0" fontId="10" fillId="6" borderId="24" xfId="0" applyNumberFormat="1" applyFont="1" applyFill="1" applyBorder="1" applyAlignment="1">
      <alignment horizontal="left"/>
    </xf>
    <xf numFmtId="0" fontId="0" fillId="6" borderId="14" xfId="0" applyFill="1" applyBorder="1" applyAlignment="1">
      <alignment/>
    </xf>
    <xf numFmtId="0" fontId="10" fillId="0" borderId="49" xfId="0" applyNumberFormat="1" applyFont="1" applyBorder="1" applyAlignment="1">
      <alignment/>
    </xf>
    <xf numFmtId="0" fontId="10" fillId="0" borderId="13" xfId="0" applyNumberFormat="1" applyFont="1" applyFill="1" applyBorder="1" applyAlignment="1">
      <alignment/>
    </xf>
    <xf numFmtId="0" fontId="10" fillId="0" borderId="24" xfId="0" applyNumberFormat="1" applyFont="1" applyFill="1" applyBorder="1" applyAlignment="1">
      <alignment horizontal="right"/>
    </xf>
    <xf numFmtId="0" fontId="33" fillId="6" borderId="0" xfId="0" applyFont="1" applyFill="1" applyBorder="1" applyAlignment="1">
      <alignment horizontal="left" vertical="top"/>
    </xf>
    <xf numFmtId="0" fontId="31" fillId="6" borderId="0" xfId="0" applyFont="1" applyFill="1" applyBorder="1" applyAlignment="1">
      <alignment horizontal="left" vertical="top"/>
    </xf>
    <xf numFmtId="0" fontId="12" fillId="6" borderId="0" xfId="0" applyFont="1" applyFill="1" applyBorder="1" applyAlignment="1">
      <alignment horizontal="right" vertical="top" wrapText="1"/>
    </xf>
    <xf numFmtId="0" fontId="12" fillId="6" borderId="1" xfId="0" applyFont="1" applyFill="1" applyBorder="1" applyAlignment="1">
      <alignment horizontal="right" vertical="top" wrapText="1"/>
    </xf>
    <xf numFmtId="179" fontId="0" fillId="6" borderId="0" xfId="0" applyNumberFormat="1" applyFill="1" applyBorder="1" applyAlignment="1">
      <alignment horizontal="left"/>
    </xf>
    <xf numFmtId="0" fontId="0" fillId="6" borderId="0" xfId="0" applyFill="1" applyBorder="1" applyAlignment="1">
      <alignment horizontal="left"/>
    </xf>
    <xf numFmtId="179" fontId="0" fillId="6" borderId="13" xfId="0" applyNumberFormat="1" applyFill="1" applyBorder="1" applyAlignment="1">
      <alignment horizontal="left"/>
    </xf>
    <xf numFmtId="0" fontId="0" fillId="6" borderId="13" xfId="0" applyFill="1" applyBorder="1" applyAlignment="1">
      <alignment horizontal="left"/>
    </xf>
    <xf numFmtId="0" fontId="10" fillId="0" borderId="24" xfId="0" applyNumberFormat="1" applyFont="1" applyFill="1" applyBorder="1" applyAlignment="1">
      <alignment/>
    </xf>
    <xf numFmtId="0" fontId="10" fillId="6" borderId="24" xfId="0" applyNumberFormat="1" applyFont="1" applyFill="1" applyBorder="1" applyAlignment="1">
      <alignment horizontal="right"/>
    </xf>
    <xf numFmtId="179" fontId="0" fillId="0" borderId="5" xfId="0" applyNumberFormat="1" applyBorder="1" applyAlignment="1">
      <alignment horizontal="center"/>
    </xf>
    <xf numFmtId="179" fontId="0" fillId="0" borderId="3" xfId="0" applyNumberFormat="1" applyBorder="1" applyAlignment="1">
      <alignment horizontal="center"/>
    </xf>
    <xf numFmtId="0" fontId="3" fillId="0" borderId="12" xfId="0" applyFont="1" applyBorder="1" applyAlignment="1">
      <alignment horizontal="center" vertical="center" wrapText="1"/>
    </xf>
    <xf numFmtId="174" fontId="0" fillId="0" borderId="52" xfId="0" applyNumberFormat="1" applyBorder="1" applyAlignment="1">
      <alignment horizontal="center"/>
    </xf>
    <xf numFmtId="174" fontId="0" fillId="0" borderId="52" xfId="0" applyNumberFormat="1" applyFill="1" applyBorder="1" applyAlignment="1">
      <alignment horizontal="center"/>
    </xf>
    <xf numFmtId="174" fontId="0" fillId="0" borderId="40" xfId="0" applyNumberFormat="1" applyBorder="1" applyAlignment="1">
      <alignment horizontal="center"/>
    </xf>
    <xf numFmtId="174" fontId="0" fillId="0" borderId="2" xfId="0" applyNumberFormat="1" applyBorder="1" applyAlignment="1">
      <alignment horizontal="center"/>
    </xf>
    <xf numFmtId="174" fontId="0" fillId="0" borderId="2" xfId="0" applyNumberFormat="1" applyFill="1" applyBorder="1" applyAlignment="1">
      <alignment horizontal="center"/>
    </xf>
    <xf numFmtId="174" fontId="0" fillId="0" borderId="53" xfId="0" applyNumberFormat="1" applyBorder="1" applyAlignment="1">
      <alignment horizontal="center"/>
    </xf>
    <xf numFmtId="174" fontId="0" fillId="0" borderId="8" xfId="0" applyNumberFormat="1" applyBorder="1" applyAlignment="1">
      <alignment horizontal="center"/>
    </xf>
    <xf numFmtId="179" fontId="0" fillId="0" borderId="54" xfId="0" applyNumberFormat="1" applyFont="1" applyBorder="1" applyAlignment="1">
      <alignment horizontal="center"/>
    </xf>
    <xf numFmtId="179" fontId="0" fillId="0" borderId="53" xfId="0" applyNumberFormat="1" applyFont="1" applyBorder="1" applyAlignment="1">
      <alignment horizontal="center"/>
    </xf>
    <xf numFmtId="179" fontId="0" fillId="0" borderId="8" xfId="0" applyNumberFormat="1" applyFont="1" applyBorder="1" applyAlignment="1">
      <alignment horizontal="center"/>
    </xf>
    <xf numFmtId="0" fontId="0" fillId="0" borderId="28" xfId="0" applyFont="1" applyBorder="1" applyAlignment="1">
      <alignment horizontal="center"/>
    </xf>
    <xf numFmtId="0" fontId="0" fillId="0" borderId="48" xfId="0" applyFont="1" applyBorder="1" applyAlignment="1">
      <alignment horizontal="center"/>
    </xf>
    <xf numFmtId="0" fontId="0" fillId="0" borderId="30" xfId="0" applyFont="1" applyBorder="1" applyAlignment="1">
      <alignment horizontal="center"/>
    </xf>
    <xf numFmtId="0" fontId="0" fillId="0" borderId="30" xfId="0" applyFont="1" applyFill="1"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179" fontId="0" fillId="0" borderId="1" xfId="0" applyNumberFormat="1" applyBorder="1" applyAlignment="1">
      <alignment horizontal="center"/>
    </xf>
    <xf numFmtId="0" fontId="3" fillId="3" borderId="55" xfId="0" applyFont="1" applyFill="1" applyBorder="1" applyAlignment="1">
      <alignment horizontal="center" wrapText="1"/>
    </xf>
    <xf numFmtId="179" fontId="0" fillId="6" borderId="0" xfId="0" applyNumberFormat="1" applyFont="1" applyFill="1" applyBorder="1" applyAlignment="1">
      <alignment horizontal="center"/>
    </xf>
    <xf numFmtId="179" fontId="0" fillId="6" borderId="0" xfId="0" applyNumberFormat="1" applyFill="1" applyBorder="1" applyAlignment="1">
      <alignment horizontal="center"/>
    </xf>
    <xf numFmtId="2" fontId="0" fillId="0" borderId="2" xfId="0" applyNumberFormat="1" applyFont="1" applyBorder="1" applyAlignment="1">
      <alignment horizontal="center"/>
    </xf>
    <xf numFmtId="179" fontId="0" fillId="0" borderId="2" xfId="0" applyNumberFormat="1" applyFont="1" applyBorder="1" applyAlignment="1">
      <alignment horizontal="center"/>
    </xf>
    <xf numFmtId="0" fontId="3" fillId="7" borderId="1" xfId="0" applyFont="1" applyFill="1" applyBorder="1" applyAlignment="1">
      <alignment horizontal="center" wrapText="1"/>
    </xf>
    <xf numFmtId="0" fontId="3" fillId="7" borderId="30" xfId="0" applyFont="1" applyFill="1" applyBorder="1" applyAlignment="1">
      <alignment horizontal="center" wrapText="1"/>
    </xf>
    <xf numFmtId="0" fontId="3" fillId="0" borderId="0" xfId="0" applyFont="1" applyFill="1" applyAlignment="1">
      <alignment/>
    </xf>
    <xf numFmtId="0" fontId="0" fillId="8" borderId="0" xfId="0" applyFont="1" applyFill="1" applyAlignment="1">
      <alignment/>
    </xf>
    <xf numFmtId="0" fontId="0" fillId="8" borderId="0" xfId="0" applyFill="1" applyAlignment="1">
      <alignment/>
    </xf>
    <xf numFmtId="0" fontId="3" fillId="7" borderId="56" xfId="0" applyFont="1" applyFill="1" applyBorder="1" applyAlignment="1">
      <alignment horizontal="center" vertical="center" wrapText="1"/>
    </xf>
    <xf numFmtId="0" fontId="29" fillId="0" borderId="57" xfId="21" applyFont="1" applyFill="1" applyBorder="1" applyAlignment="1" applyProtection="1">
      <alignment horizontal="center" vertical="center"/>
      <protection locked="0"/>
    </xf>
    <xf numFmtId="0" fontId="29" fillId="0" borderId="48" xfId="21" applyFont="1" applyFill="1" applyBorder="1" applyAlignment="1" applyProtection="1">
      <alignment horizontal="center" vertical="center"/>
      <protection locked="0"/>
    </xf>
    <xf numFmtId="0" fontId="29" fillId="0" borderId="30" xfId="21" applyFont="1" applyFill="1" applyBorder="1" applyAlignment="1" applyProtection="1">
      <alignment horizontal="center" vertical="center"/>
      <protection locked="0"/>
    </xf>
    <xf numFmtId="0" fontId="29" fillId="0" borderId="31" xfId="21" applyFont="1" applyFill="1" applyBorder="1" applyAlignment="1" applyProtection="1">
      <alignment horizontal="center" vertical="center"/>
      <protection locked="0"/>
    </xf>
    <xf numFmtId="0" fontId="29" fillId="0" borderId="19" xfId="21"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44" xfId="0" applyBorder="1" applyAlignment="1">
      <alignment horizontal="center" vertical="center"/>
    </xf>
    <xf numFmtId="0" fontId="0" fillId="0" borderId="5" xfId="0" applyBorder="1" applyAlignment="1">
      <alignment horizontal="center" vertical="center"/>
    </xf>
    <xf numFmtId="0" fontId="0" fillId="0" borderId="35"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58" xfId="0" applyBorder="1" applyAlignment="1">
      <alignment horizontal="center" vertical="center" wrapText="1"/>
    </xf>
    <xf numFmtId="0" fontId="3" fillId="0" borderId="1" xfId="0" applyFont="1" applyBorder="1" applyAlignment="1">
      <alignment horizontal="center"/>
    </xf>
    <xf numFmtId="0" fontId="16" fillId="6" borderId="0" xfId="0" applyFont="1" applyFill="1" applyAlignment="1">
      <alignment horizontal="justify"/>
    </xf>
    <xf numFmtId="0" fontId="0" fillId="6" borderId="0" xfId="0" applyFill="1" applyAlignment="1">
      <alignment/>
    </xf>
    <xf numFmtId="0" fontId="0" fillId="6" borderId="0" xfId="0" applyFill="1" applyBorder="1" applyAlignment="1">
      <alignment horizontal="center" wrapText="1"/>
    </xf>
    <xf numFmtId="0" fontId="2" fillId="6" borderId="0" xfId="0" applyFont="1" applyFill="1" applyBorder="1" applyAlignment="1">
      <alignment horizontal="center" wrapText="1"/>
    </xf>
    <xf numFmtId="0" fontId="3" fillId="4" borderId="35" xfId="0" applyFont="1" applyFill="1" applyBorder="1" applyAlignment="1">
      <alignment wrapText="1"/>
    </xf>
    <xf numFmtId="0" fontId="0" fillId="4" borderId="14" xfId="0" applyFill="1" applyBorder="1" applyAlignment="1">
      <alignment wrapText="1"/>
    </xf>
    <xf numFmtId="0" fontId="0" fillId="0" borderId="31" xfId="0" applyBorder="1" applyAlignment="1">
      <alignment horizontal="center" wrapText="1"/>
    </xf>
    <xf numFmtId="0" fontId="0" fillId="0" borderId="30" xfId="0" applyBorder="1" applyAlignment="1">
      <alignment horizontal="center" wrapText="1"/>
    </xf>
    <xf numFmtId="0" fontId="0" fillId="6" borderId="0" xfId="0" applyFill="1" applyAlignment="1">
      <alignment horizontal="center" wrapText="1"/>
    </xf>
    <xf numFmtId="0" fontId="38" fillId="0" borderId="59" xfId="0" applyFont="1" applyBorder="1" applyAlignment="1">
      <alignment horizontal="center"/>
    </xf>
    <xf numFmtId="0" fontId="8" fillId="6" borderId="0" xfId="0" applyFont="1" applyFill="1" applyAlignment="1">
      <alignment horizontal="left" wrapText="1"/>
    </xf>
    <xf numFmtId="0" fontId="0" fillId="6" borderId="0" xfId="0" applyFill="1" applyAlignment="1">
      <alignment wrapText="1"/>
    </xf>
  </cellXfs>
  <cellStyles count="9">
    <cellStyle name="Normal" xfId="0"/>
    <cellStyle name="Hyperlink" xfId="15"/>
    <cellStyle name="Followed Hyperlink" xfId="16"/>
    <cellStyle name="Comma" xfId="17"/>
    <cellStyle name="Comma [0]" xfId="18"/>
    <cellStyle name="Currency" xfId="19"/>
    <cellStyle name="Currency [0]" xfId="20"/>
    <cellStyle name="Normal_Hoja Toma de datos de Llaves Dinamométrica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Error célula de carga</a:t>
            </a:r>
          </a:p>
        </c:rich>
      </c:tx>
      <c:layout/>
      <c:spPr>
        <a:noFill/>
        <a:ln>
          <a:noFill/>
        </a:ln>
      </c:spPr>
    </c:title>
    <c:plotArea>
      <c:layout/>
      <c:lineChart>
        <c:grouping val="standard"/>
        <c:varyColors val="0"/>
        <c:ser>
          <c:idx val="0"/>
          <c:order val="0"/>
          <c:tx>
            <c:v>Error (v)</c:v>
          </c:tx>
          <c:extLst>
            <c:ext xmlns:c14="http://schemas.microsoft.com/office/drawing/2007/8/2/chart" uri="{6F2FDCE9-48DA-4B69-8628-5D25D57E5C99}">
              <c14:invertSolidFillFmt>
                <c14:spPr>
                  <a:solidFill>
                    <a:srgbClr val="000000"/>
                  </a:solidFill>
                </c14:spPr>
              </c14:invertSolidFillFmt>
            </c:ext>
          </c:extLst>
          <c:cat>
            <c:numRef>
              <c:f>'Tabla A2'!$C$8:$C$28</c:f>
              <c:numCache/>
            </c:numRef>
          </c:cat>
          <c:val>
            <c:numRef>
              <c:f>'Tabla A2'!$F$9:$F$28</c:f>
              <c:numCache/>
            </c:numRef>
          </c:val>
          <c:smooth val="0"/>
        </c:ser>
        <c:ser>
          <c:idx val="1"/>
          <c:order val="1"/>
          <c:tx>
            <c:v>E.M.P</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'Tabla A2'!$C$8:$C$28</c:f>
              <c:numCache/>
            </c:numRef>
          </c:cat>
          <c:val>
            <c:numRef>
              <c:f>'Tabla A2'!$G$9:$G$28</c:f>
              <c:numCache/>
            </c:numRef>
          </c:val>
          <c:smooth val="0"/>
        </c:ser>
        <c:ser>
          <c:idx val="2"/>
          <c:order val="2"/>
          <c:tx>
            <c:v>E.M.P</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'Tabla A2'!#REF!</c:f>
              <c:numCache>
                <c:ptCount val="1"/>
                <c:pt idx="0">
                  <c:v>1</c:v>
                </c:pt>
              </c:numCache>
            </c:numRef>
          </c:val>
          <c:smooth val="0"/>
        </c:ser>
        <c:marker val="1"/>
        <c:axId val="31286094"/>
        <c:axId val="13139391"/>
      </c:lineChart>
      <c:catAx>
        <c:axId val="31286094"/>
        <c:scaling>
          <c:orientation val="minMax"/>
        </c:scaling>
        <c:axPos val="b"/>
        <c:title>
          <c:tx>
            <c:rich>
              <a:bodyPr vert="horz" rot="0" anchor="ctr"/>
              <a:lstStyle/>
              <a:p>
                <a:pPr algn="ctr">
                  <a:defRPr/>
                </a:pPr>
                <a:r>
                  <a:rPr lang="en-US" cap="none" sz="1125" b="1" i="0" u="none" baseline="0">
                    <a:latin typeface="Arial"/>
                    <a:ea typeface="Arial"/>
                    <a:cs typeface="Arial"/>
                  </a:rPr>
                  <a:t>Cargas de ensayo (Kg)</a:t>
                </a:r>
              </a:p>
            </c:rich>
          </c:tx>
          <c:layout/>
          <c:overlay val="0"/>
          <c:spPr>
            <a:noFill/>
            <a:ln>
              <a:noFill/>
            </a:ln>
          </c:spPr>
        </c:title>
        <c:delete val="0"/>
        <c:numFmt formatCode="0" sourceLinked="0"/>
        <c:majorTickMark val="out"/>
        <c:minorTickMark val="none"/>
        <c:tickLblPos val="nextTo"/>
        <c:txPr>
          <a:bodyPr vert="horz" rot="-5400000"/>
          <a:lstStyle/>
          <a:p>
            <a:pPr>
              <a:defRPr lang="en-US" cap="none" sz="825" b="0" i="0" u="none" baseline="0">
                <a:latin typeface="Arial"/>
                <a:ea typeface="Arial"/>
                <a:cs typeface="Arial"/>
              </a:defRPr>
            </a:pPr>
          </a:p>
        </c:txPr>
        <c:crossAx val="13139391"/>
        <c:crosses val="autoZero"/>
        <c:auto val="1"/>
        <c:lblOffset val="100"/>
        <c:tickLblSkip val="1"/>
        <c:noMultiLvlLbl val="0"/>
      </c:catAx>
      <c:valAx>
        <c:axId val="13139391"/>
        <c:scaling>
          <c:orientation val="minMax"/>
        </c:scaling>
        <c:axPos val="l"/>
        <c:title>
          <c:tx>
            <c:rich>
              <a:bodyPr vert="horz" rot="-5400000" anchor="ctr"/>
              <a:lstStyle/>
              <a:p>
                <a:pPr algn="ctr">
                  <a:defRPr/>
                </a:pPr>
                <a:r>
                  <a:rPr lang="en-US" cap="none" sz="1150" b="1" i="0" u="none" baseline="0">
                    <a:latin typeface="Arial"/>
                    <a:ea typeface="Arial"/>
                    <a:cs typeface="Arial"/>
                  </a:rPr>
                  <a:t>error (v)</a:t>
                </a:r>
              </a:p>
            </c:rich>
          </c:tx>
          <c:layout/>
          <c:overlay val="0"/>
          <c:spPr>
            <a:noFill/>
            <a:ln>
              <a:noFill/>
            </a:ln>
          </c:spPr>
        </c:title>
        <c:majorGridlines/>
        <c:delete val="0"/>
        <c:numFmt formatCode="0.000" sourceLinked="0"/>
        <c:majorTickMark val="out"/>
        <c:minorTickMark val="none"/>
        <c:tickLblPos val="nextTo"/>
        <c:crossAx val="31286094"/>
        <c:crossesAt val="1"/>
        <c:crossBetween val="between"/>
        <c:dispUnits/>
        <c:majorUnit val="3.4331383276165686"/>
        <c:minorUnit val="3.4331383276165686"/>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Error (v)</c:v>
          </c:tx>
          <c:spPr>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tar"/>
            <c:size val="3"/>
            <c:spPr>
              <a:noFill/>
              <a:ln>
                <a:solidFill>
                  <a:srgbClr val="000080"/>
                </a:solidFill>
              </a:ln>
              <a:effectLst>
                <a:outerShdw dist="35921" dir="2700000" algn="br">
                  <a:prstClr val="black"/>
                </a:outerShdw>
              </a:effectLst>
            </c:spPr>
          </c:marker>
          <c:cat>
            <c:numRef>
              <c:f>'Tabla A3'!$C$9:$C$29</c:f>
              <c:numCache/>
            </c:numRef>
          </c:cat>
          <c:val>
            <c:numRef>
              <c:f>'Tabla A3'!$G$9:$G$29</c:f>
              <c:numCache/>
            </c:numRef>
          </c:val>
          <c:smooth val="0"/>
        </c:ser>
        <c:ser>
          <c:idx val="1"/>
          <c:order val="1"/>
          <c:tx>
            <c:v>E.M.P</c:v>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'Tabla A3'!$C$9:$C$29</c:f>
              <c:numCache/>
            </c:numRef>
          </c:cat>
          <c:val>
            <c:numRef>
              <c:f>'Tabla A3'!$H$9:$H$29</c:f>
              <c:numCache/>
            </c:numRef>
          </c:val>
          <c:smooth val="0"/>
        </c:ser>
        <c:axId val="51145656"/>
        <c:axId val="57657721"/>
      </c:lineChart>
      <c:catAx>
        <c:axId val="51145656"/>
        <c:scaling>
          <c:orientation val="minMax"/>
        </c:scaling>
        <c:axPos val="b"/>
        <c:delete val="0"/>
        <c:numFmt formatCode="0" sourceLinked="0"/>
        <c:majorTickMark val="out"/>
        <c:minorTickMark val="none"/>
        <c:tickLblPos val="nextTo"/>
        <c:txPr>
          <a:bodyPr/>
          <a:lstStyle/>
          <a:p>
            <a:pPr>
              <a:defRPr lang="en-US" cap="none" sz="925" b="0" i="0" u="none" baseline="0">
                <a:latin typeface="Arial"/>
                <a:ea typeface="Arial"/>
                <a:cs typeface="Arial"/>
              </a:defRPr>
            </a:pPr>
          </a:p>
        </c:txPr>
        <c:crossAx val="57657721"/>
        <c:crosses val="autoZero"/>
        <c:auto val="1"/>
        <c:lblOffset val="100"/>
        <c:noMultiLvlLbl val="0"/>
      </c:catAx>
      <c:valAx>
        <c:axId val="57657721"/>
        <c:scaling>
          <c:orientation val="minMax"/>
        </c:scaling>
        <c:axPos val="l"/>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1145656"/>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Error de creep</a:t>
            </a:r>
          </a:p>
        </c:rich>
      </c:tx>
      <c:layout/>
      <c:spPr>
        <a:noFill/>
        <a:ln>
          <a:noFill/>
        </a:ln>
      </c:spPr>
    </c:title>
    <c:plotArea>
      <c:layout/>
      <c:lineChart>
        <c:grouping val="standard"/>
        <c:varyColors val="0"/>
        <c:ser>
          <c:idx val="0"/>
          <c:order val="0"/>
          <c:tx>
            <c:v>E.M.P</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'tabla A5'!$G$16:$G$29</c:f>
              <c:numCache/>
            </c:numRef>
          </c:val>
          <c:smooth val="1"/>
        </c:ser>
        <c:ser>
          <c:idx val="1"/>
          <c:order val="1"/>
          <c:tx>
            <c:v>Cambio (v)</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66FF"/>
              </a:solidFill>
              <a:ln>
                <a:solidFill>
                  <a:srgbClr val="3366FF"/>
                </a:solidFill>
              </a:ln>
            </c:spPr>
          </c:marker>
          <c:val>
            <c:numRef>
              <c:f>'tabla A5'!$F$16:$F$29</c:f>
              <c:numCache/>
            </c:numRef>
          </c:val>
          <c:smooth val="0"/>
        </c:ser>
        <c:marker val="1"/>
        <c:axId val="49157442"/>
        <c:axId val="39763795"/>
      </c:lineChart>
      <c:catAx>
        <c:axId val="49157442"/>
        <c:scaling>
          <c:orientation val="minMax"/>
        </c:scaling>
        <c:axPos val="b"/>
        <c:title>
          <c:tx>
            <c:rich>
              <a:bodyPr vert="horz" rot="0" anchor="ctr"/>
              <a:lstStyle/>
              <a:p>
                <a:pPr algn="ctr">
                  <a:defRPr/>
                </a:pPr>
                <a:r>
                  <a:rPr lang="en-US" cap="none" sz="1025" b="1" i="0" u="none" baseline="0">
                    <a:latin typeface="Arial"/>
                    <a:ea typeface="Arial"/>
                    <a:cs typeface="Arial"/>
                  </a:rPr>
                  <a:t>Carga</a:t>
                </a:r>
              </a:p>
            </c:rich>
          </c:tx>
          <c:layout/>
          <c:overlay val="0"/>
          <c:spPr>
            <a:noFill/>
            <a:ln>
              <a:noFill/>
            </a:ln>
          </c:spPr>
        </c:title>
        <c:delete val="0"/>
        <c:numFmt formatCode="General" sourceLinked="1"/>
        <c:majorTickMark val="out"/>
        <c:minorTickMark val="none"/>
        <c:tickLblPos val="nextTo"/>
        <c:crossAx val="39763795"/>
        <c:crosses val="autoZero"/>
        <c:auto val="1"/>
        <c:lblOffset val="100"/>
        <c:noMultiLvlLbl val="0"/>
      </c:catAx>
      <c:valAx>
        <c:axId val="39763795"/>
        <c:scaling>
          <c:orientation val="minMax"/>
          <c:max val="1.2"/>
          <c:min val="0"/>
        </c:scaling>
        <c:axPos val="l"/>
        <c:title>
          <c:tx>
            <c:rich>
              <a:bodyPr vert="horz" rot="-5400000" anchor="ctr"/>
              <a:lstStyle/>
              <a:p>
                <a:pPr algn="ctr">
                  <a:defRPr/>
                </a:pPr>
                <a:r>
                  <a:rPr lang="en-US" cap="none" sz="1025" b="1" i="0" u="none" baseline="0">
                    <a:latin typeface="Arial"/>
                    <a:ea typeface="Arial"/>
                    <a:cs typeface="Arial"/>
                  </a:rPr>
                  <a:t>Error</a:t>
                </a:r>
              </a:p>
            </c:rich>
          </c:tx>
          <c:layout/>
          <c:overlay val="0"/>
          <c:spPr>
            <a:noFill/>
            <a:ln>
              <a:noFill/>
            </a:ln>
          </c:spPr>
        </c:title>
        <c:majorGridlines/>
        <c:delete val="0"/>
        <c:numFmt formatCode="General" sourceLinked="1"/>
        <c:majorTickMark val="out"/>
        <c:minorTickMark val="none"/>
        <c:tickLblPos val="nextTo"/>
        <c:crossAx val="49157442"/>
        <c:crossesAt val="1"/>
        <c:crossBetween val="between"/>
        <c:dispUnits/>
        <c:majorUnit val="0.2"/>
        <c:minorUnit val="0.1"/>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38</xdr:row>
      <xdr:rowOff>0</xdr:rowOff>
    </xdr:from>
    <xdr:to>
      <xdr:col>7</xdr:col>
      <xdr:colOff>876300</xdr:colOff>
      <xdr:row>38</xdr:row>
      <xdr:rowOff>0</xdr:rowOff>
    </xdr:to>
    <xdr:sp>
      <xdr:nvSpPr>
        <xdr:cNvPr id="1" name="Line 5"/>
        <xdr:cNvSpPr>
          <a:spLocks/>
        </xdr:cNvSpPr>
      </xdr:nvSpPr>
      <xdr:spPr>
        <a:xfrm>
          <a:off x="314325" y="7258050"/>
          <a:ext cx="641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38</xdr:row>
      <xdr:rowOff>0</xdr:rowOff>
    </xdr:from>
    <xdr:to>
      <xdr:col>7</xdr:col>
      <xdr:colOff>866775</xdr:colOff>
      <xdr:row>38</xdr:row>
      <xdr:rowOff>0</xdr:rowOff>
    </xdr:to>
    <xdr:sp>
      <xdr:nvSpPr>
        <xdr:cNvPr id="2" name="Line 6"/>
        <xdr:cNvSpPr>
          <a:spLocks/>
        </xdr:cNvSpPr>
      </xdr:nvSpPr>
      <xdr:spPr>
        <a:xfrm>
          <a:off x="304800" y="7258050"/>
          <a:ext cx="641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43</xdr:row>
      <xdr:rowOff>38100</xdr:rowOff>
    </xdr:from>
    <xdr:to>
      <xdr:col>7</xdr:col>
      <xdr:colOff>866775</xdr:colOff>
      <xdr:row>43</xdr:row>
      <xdr:rowOff>38100</xdr:rowOff>
    </xdr:to>
    <xdr:sp>
      <xdr:nvSpPr>
        <xdr:cNvPr id="3" name="Line 10"/>
        <xdr:cNvSpPr>
          <a:spLocks/>
        </xdr:cNvSpPr>
      </xdr:nvSpPr>
      <xdr:spPr>
        <a:xfrm>
          <a:off x="304800" y="8181975"/>
          <a:ext cx="6419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6</xdr:col>
      <xdr:colOff>866775</xdr:colOff>
      <xdr:row>0</xdr:row>
      <xdr:rowOff>0</xdr:rowOff>
    </xdr:to>
    <xdr:sp>
      <xdr:nvSpPr>
        <xdr:cNvPr id="1" name="Line 2"/>
        <xdr:cNvSpPr>
          <a:spLocks/>
        </xdr:cNvSpPr>
      </xdr:nvSpPr>
      <xdr:spPr>
        <a:xfrm>
          <a:off x="57150" y="0"/>
          <a:ext cx="5619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31</xdr:row>
      <xdr:rowOff>142875</xdr:rowOff>
    </xdr:from>
    <xdr:to>
      <xdr:col>8</xdr:col>
      <xdr:colOff>0</xdr:colOff>
      <xdr:row>52</xdr:row>
      <xdr:rowOff>19050</xdr:rowOff>
    </xdr:to>
    <xdr:graphicFrame>
      <xdr:nvGraphicFramePr>
        <xdr:cNvPr id="1" name="Chart 2"/>
        <xdr:cNvGraphicFramePr/>
      </xdr:nvGraphicFramePr>
      <xdr:xfrm>
        <a:off x="723900" y="5753100"/>
        <a:ext cx="5457825" cy="32766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0</xdr:rowOff>
    </xdr:from>
    <xdr:to>
      <xdr:col>7</xdr:col>
      <xdr:colOff>781050</xdr:colOff>
      <xdr:row>1</xdr:row>
      <xdr:rowOff>0</xdr:rowOff>
    </xdr:to>
    <xdr:sp>
      <xdr:nvSpPr>
        <xdr:cNvPr id="1" name="Line 1"/>
        <xdr:cNvSpPr>
          <a:spLocks/>
        </xdr:cNvSpPr>
      </xdr:nvSpPr>
      <xdr:spPr>
        <a:xfrm>
          <a:off x="400050" y="161925"/>
          <a:ext cx="5600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34</xdr:row>
      <xdr:rowOff>0</xdr:rowOff>
    </xdr:from>
    <xdr:to>
      <xdr:col>8</xdr:col>
      <xdr:colOff>314325</xdr:colOff>
      <xdr:row>52</xdr:row>
      <xdr:rowOff>114300</xdr:rowOff>
    </xdr:to>
    <xdr:graphicFrame>
      <xdr:nvGraphicFramePr>
        <xdr:cNvPr id="2" name="Chart 2"/>
        <xdr:cNvGraphicFramePr/>
      </xdr:nvGraphicFramePr>
      <xdr:xfrm>
        <a:off x="352425" y="6105525"/>
        <a:ext cx="5962650" cy="3028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8</xdr:col>
      <xdr:colOff>600075</xdr:colOff>
      <xdr:row>0</xdr:row>
      <xdr:rowOff>0</xdr:rowOff>
    </xdr:to>
    <xdr:sp>
      <xdr:nvSpPr>
        <xdr:cNvPr id="1" name="Line 2"/>
        <xdr:cNvSpPr>
          <a:spLocks/>
        </xdr:cNvSpPr>
      </xdr:nvSpPr>
      <xdr:spPr>
        <a:xfrm>
          <a:off x="323850" y="0"/>
          <a:ext cx="5876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37</xdr:row>
      <xdr:rowOff>9525</xdr:rowOff>
    </xdr:from>
    <xdr:to>
      <xdr:col>8</xdr:col>
      <xdr:colOff>523875</xdr:colOff>
      <xdr:row>53</xdr:row>
      <xdr:rowOff>104775</xdr:rowOff>
    </xdr:to>
    <xdr:graphicFrame>
      <xdr:nvGraphicFramePr>
        <xdr:cNvPr id="2" name="Chart 4"/>
        <xdr:cNvGraphicFramePr/>
      </xdr:nvGraphicFramePr>
      <xdr:xfrm>
        <a:off x="381000" y="6496050"/>
        <a:ext cx="5743575" cy="2686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4</xdr:row>
      <xdr:rowOff>266700</xdr:rowOff>
    </xdr:from>
    <xdr:to>
      <xdr:col>3</xdr:col>
      <xdr:colOff>171450</xdr:colOff>
      <xdr:row>8</xdr:row>
      <xdr:rowOff>47625</xdr:rowOff>
    </xdr:to>
    <xdr:sp>
      <xdr:nvSpPr>
        <xdr:cNvPr id="1" name="Line 1"/>
        <xdr:cNvSpPr>
          <a:spLocks/>
        </xdr:cNvSpPr>
      </xdr:nvSpPr>
      <xdr:spPr>
        <a:xfrm flipH="1">
          <a:off x="2047875" y="1247775"/>
          <a:ext cx="12668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876300</xdr:colOff>
      <xdr:row>5</xdr:row>
      <xdr:rowOff>19050</xdr:rowOff>
    </xdr:from>
    <xdr:to>
      <xdr:col>2</xdr:col>
      <xdr:colOff>390525</xdr:colOff>
      <xdr:row>8</xdr:row>
      <xdr:rowOff>85725</xdr:rowOff>
    </xdr:to>
    <xdr:sp>
      <xdr:nvSpPr>
        <xdr:cNvPr id="2" name="Line 2"/>
        <xdr:cNvSpPr>
          <a:spLocks/>
        </xdr:cNvSpPr>
      </xdr:nvSpPr>
      <xdr:spPr>
        <a:xfrm flipH="1">
          <a:off x="1981200" y="1285875"/>
          <a:ext cx="6381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U85"/>
  <sheetViews>
    <sheetView zoomScale="75" zoomScaleNormal="75" workbookViewId="0" topLeftCell="A4">
      <selection activeCell="I10" sqref="I10"/>
    </sheetView>
  </sheetViews>
  <sheetFormatPr defaultColWidth="11.421875" defaultRowHeight="12.75"/>
  <cols>
    <col min="1" max="1" width="4.421875" style="0" customWidth="1"/>
    <col min="2" max="2" width="20.57421875" style="0" customWidth="1"/>
    <col min="3" max="3" width="10.8515625" style="0" customWidth="1"/>
    <col min="4" max="4" width="11.57421875" style="0" bestFit="1" customWidth="1"/>
    <col min="5" max="5" width="15.57421875" style="0" bestFit="1" customWidth="1"/>
    <col min="6" max="6" width="13.28125" style="0" customWidth="1"/>
    <col min="7" max="7" width="11.57421875" style="0" bestFit="1" customWidth="1"/>
    <col min="8" max="8" width="14.00390625" style="0" customWidth="1"/>
  </cols>
  <sheetData>
    <row r="1" spans="1:21" ht="9.75" customHeight="1">
      <c r="A1" s="101"/>
      <c r="B1" s="101"/>
      <c r="C1" s="101"/>
      <c r="D1" s="101"/>
      <c r="E1" s="101"/>
      <c r="F1" s="101"/>
      <c r="G1" s="101"/>
      <c r="H1" s="101"/>
      <c r="I1" s="99"/>
      <c r="J1" s="99"/>
      <c r="K1" s="99"/>
      <c r="L1" s="99"/>
      <c r="M1" s="99"/>
      <c r="N1" s="99"/>
      <c r="O1" s="99"/>
      <c r="P1" s="99"/>
      <c r="Q1" s="99"/>
      <c r="R1" s="99"/>
      <c r="S1" s="99"/>
      <c r="T1" s="99"/>
      <c r="U1" s="99"/>
    </row>
    <row r="2" spans="1:21" ht="16.5" customHeight="1">
      <c r="A2" s="101"/>
      <c r="B2" s="148" t="s">
        <v>98</v>
      </c>
      <c r="C2" s="103"/>
      <c r="D2" s="103"/>
      <c r="E2" s="103"/>
      <c r="F2" s="103"/>
      <c r="G2" s="103"/>
      <c r="H2" s="103"/>
      <c r="I2" s="99"/>
      <c r="J2" s="99"/>
      <c r="K2" s="99"/>
      <c r="L2" s="99"/>
      <c r="M2" s="99"/>
      <c r="N2" s="99"/>
      <c r="O2" s="99"/>
      <c r="P2" s="99"/>
      <c r="Q2" s="99"/>
      <c r="R2" s="99"/>
      <c r="S2" s="99"/>
      <c r="T2" s="99"/>
      <c r="U2" s="99"/>
    </row>
    <row r="3" spans="1:21" ht="13.5">
      <c r="A3" s="141"/>
      <c r="B3" s="149" t="s">
        <v>90</v>
      </c>
      <c r="C3" s="142"/>
      <c r="D3" s="158" t="s">
        <v>91</v>
      </c>
      <c r="E3" s="157"/>
      <c r="F3" s="143"/>
      <c r="G3" s="156" t="s">
        <v>92</v>
      </c>
      <c r="H3" s="144"/>
      <c r="I3" s="99"/>
      <c r="J3" s="99"/>
      <c r="K3" s="99"/>
      <c r="L3" s="99"/>
      <c r="M3" s="99"/>
      <c r="N3" s="99"/>
      <c r="O3" s="99"/>
      <c r="P3" s="99"/>
      <c r="Q3" s="99"/>
      <c r="R3" s="99"/>
      <c r="S3" s="99"/>
      <c r="T3" s="99"/>
      <c r="U3" s="99"/>
    </row>
    <row r="4" spans="1:21" ht="12.75">
      <c r="A4" s="141"/>
      <c r="B4" s="150"/>
      <c r="C4" s="146"/>
      <c r="D4" s="146"/>
      <c r="E4" s="154"/>
      <c r="F4" s="154"/>
      <c r="G4" s="146"/>
      <c r="H4" s="146"/>
      <c r="I4" s="147"/>
      <c r="J4" s="147"/>
      <c r="K4" s="147"/>
      <c r="L4" s="147"/>
      <c r="M4" s="99"/>
      <c r="N4" s="99"/>
      <c r="O4" s="99"/>
      <c r="P4" s="99"/>
      <c r="Q4" s="99"/>
      <c r="R4" s="99"/>
      <c r="S4" s="99"/>
      <c r="T4" s="99"/>
      <c r="U4" s="99"/>
    </row>
    <row r="5" spans="1:21" ht="12.75">
      <c r="A5" s="141"/>
      <c r="B5" s="151" t="s">
        <v>93</v>
      </c>
      <c r="C5" s="234"/>
      <c r="D5" s="235"/>
      <c r="E5" s="235"/>
      <c r="F5" s="233"/>
      <c r="G5" s="155"/>
      <c r="H5" s="146"/>
      <c r="I5" s="147"/>
      <c r="J5" s="147"/>
      <c r="K5" s="147"/>
      <c r="L5" s="147"/>
      <c r="M5" s="99"/>
      <c r="N5" s="99"/>
      <c r="O5" s="99"/>
      <c r="P5" s="99"/>
      <c r="Q5" s="99"/>
      <c r="R5" s="99"/>
      <c r="S5" s="99"/>
      <c r="T5" s="99"/>
      <c r="U5" s="99"/>
    </row>
    <row r="6" spans="1:21" ht="12.75">
      <c r="A6" s="141"/>
      <c r="B6" s="152" t="s">
        <v>94</v>
      </c>
      <c r="C6" s="234"/>
      <c r="D6" s="235"/>
      <c r="E6" s="235"/>
      <c r="F6" s="233"/>
      <c r="G6" s="103"/>
      <c r="H6" s="103"/>
      <c r="I6" s="99"/>
      <c r="J6" s="99"/>
      <c r="K6" s="99"/>
      <c r="L6" s="99"/>
      <c r="M6" s="99"/>
      <c r="N6" s="99"/>
      <c r="O6" s="99"/>
      <c r="P6" s="99"/>
      <c r="Q6" s="99"/>
      <c r="R6" s="99"/>
      <c r="S6" s="99"/>
      <c r="T6" s="99"/>
      <c r="U6" s="99"/>
    </row>
    <row r="7" spans="1:21" ht="12.75">
      <c r="A7" s="141"/>
      <c r="B7" s="152" t="s">
        <v>95</v>
      </c>
      <c r="C7" s="231"/>
      <c r="D7" s="232"/>
      <c r="E7" s="153" t="s">
        <v>96</v>
      </c>
      <c r="F7" s="231"/>
      <c r="G7" s="233"/>
      <c r="H7" s="103"/>
      <c r="I7" s="99"/>
      <c r="J7" s="99"/>
      <c r="K7" s="99"/>
      <c r="L7" s="99"/>
      <c r="M7" s="99"/>
      <c r="N7" s="99"/>
      <c r="O7" s="99"/>
      <c r="P7" s="99"/>
      <c r="Q7" s="99"/>
      <c r="R7" s="99"/>
      <c r="S7" s="99"/>
      <c r="T7" s="99"/>
      <c r="U7" s="99"/>
    </row>
    <row r="8" spans="1:21" ht="12.75">
      <c r="A8" s="141"/>
      <c r="B8" s="153" t="s">
        <v>97</v>
      </c>
      <c r="C8" s="145"/>
      <c r="D8" s="103"/>
      <c r="E8" s="103"/>
      <c r="F8" s="103"/>
      <c r="G8" s="103"/>
      <c r="H8" s="103"/>
      <c r="I8" s="99"/>
      <c r="J8" s="99"/>
      <c r="K8" s="99"/>
      <c r="L8" s="99"/>
      <c r="M8" s="99"/>
      <c r="N8" s="99"/>
      <c r="O8" s="99"/>
      <c r="P8" s="99"/>
      <c r="Q8" s="99"/>
      <c r="R8" s="99"/>
      <c r="S8" s="99"/>
      <c r="T8" s="99"/>
      <c r="U8" s="99"/>
    </row>
    <row r="9" spans="1:21" ht="15.75" thickBot="1">
      <c r="A9" s="101"/>
      <c r="B9" s="102"/>
      <c r="C9" s="102"/>
      <c r="D9" s="102"/>
      <c r="E9" s="102"/>
      <c r="F9" s="102"/>
      <c r="G9" s="102"/>
      <c r="H9" s="102"/>
      <c r="I9" s="99"/>
      <c r="J9" s="99"/>
      <c r="K9" s="99"/>
      <c r="L9" s="99"/>
      <c r="M9" s="99"/>
      <c r="N9" s="99"/>
      <c r="O9" s="99"/>
      <c r="P9" s="99"/>
      <c r="Q9" s="99"/>
      <c r="R9" s="99"/>
      <c r="S9" s="99"/>
      <c r="T9" s="99"/>
      <c r="U9" s="99"/>
    </row>
    <row r="10" spans="1:21" ht="15.75" thickBot="1">
      <c r="A10" s="103"/>
      <c r="B10" s="104"/>
      <c r="C10" s="105" t="s">
        <v>59</v>
      </c>
      <c r="D10" s="106"/>
      <c r="E10" s="107"/>
      <c r="F10" s="105" t="s">
        <v>56</v>
      </c>
      <c r="G10" s="108"/>
      <c r="H10" s="107"/>
      <c r="I10" s="99"/>
      <c r="J10" s="99"/>
      <c r="K10" s="99"/>
      <c r="L10" s="99"/>
      <c r="M10" s="99"/>
      <c r="N10" s="99"/>
      <c r="O10" s="99"/>
      <c r="P10" s="99"/>
      <c r="Q10" s="99"/>
      <c r="R10" s="99"/>
      <c r="S10" s="99"/>
      <c r="T10" s="99"/>
      <c r="U10" s="99"/>
    </row>
    <row r="11" spans="1:21" ht="15">
      <c r="A11" s="103"/>
      <c r="B11" s="169" t="s">
        <v>22</v>
      </c>
      <c r="C11" s="32"/>
      <c r="D11" s="32"/>
      <c r="E11" s="33"/>
      <c r="F11" s="169" t="s">
        <v>22</v>
      </c>
      <c r="G11" s="32"/>
      <c r="H11" s="33"/>
      <c r="I11" s="99"/>
      <c r="J11" s="99"/>
      <c r="K11" s="99"/>
      <c r="L11" s="99"/>
      <c r="M11" s="99"/>
      <c r="N11" s="99"/>
      <c r="O11" s="99"/>
      <c r="P11" s="99"/>
      <c r="Q11" s="99"/>
      <c r="R11" s="99"/>
      <c r="S11" s="99"/>
      <c r="T11" s="99"/>
      <c r="U11" s="99"/>
    </row>
    <row r="12" spans="1:21" ht="15">
      <c r="A12" s="103"/>
      <c r="B12" s="170" t="s">
        <v>24</v>
      </c>
      <c r="C12" s="35"/>
      <c r="D12" s="35"/>
      <c r="E12" s="36"/>
      <c r="F12" s="170" t="s">
        <v>24</v>
      </c>
      <c r="G12" s="35"/>
      <c r="H12" s="36"/>
      <c r="I12" s="99"/>
      <c r="J12" s="99"/>
      <c r="K12" s="99"/>
      <c r="L12" s="99"/>
      <c r="M12" s="99"/>
      <c r="N12" s="99"/>
      <c r="O12" s="99"/>
      <c r="P12" s="99"/>
      <c r="Q12" s="99"/>
      <c r="R12" s="99"/>
      <c r="S12" s="99"/>
      <c r="T12" s="99"/>
      <c r="U12" s="99"/>
    </row>
    <row r="13" spans="1:21" ht="15">
      <c r="A13" s="103"/>
      <c r="B13" s="170" t="s">
        <v>25</v>
      </c>
      <c r="C13" s="35"/>
      <c r="D13" s="35"/>
      <c r="E13" s="36"/>
      <c r="F13" s="170" t="s">
        <v>25</v>
      </c>
      <c r="G13" s="35"/>
      <c r="H13" s="36"/>
      <c r="I13" s="99"/>
      <c r="J13" s="99"/>
      <c r="K13" s="99"/>
      <c r="L13" s="99"/>
      <c r="M13" s="99"/>
      <c r="N13" s="99"/>
      <c r="O13" s="99"/>
      <c r="P13" s="99"/>
      <c r="Q13" s="99"/>
      <c r="R13" s="99"/>
      <c r="S13" s="99"/>
      <c r="T13" s="99"/>
      <c r="U13" s="99"/>
    </row>
    <row r="14" spans="1:21" ht="15">
      <c r="A14" s="103"/>
      <c r="B14" s="170" t="s">
        <v>26</v>
      </c>
      <c r="C14" s="35"/>
      <c r="D14" s="35"/>
      <c r="E14" s="36"/>
      <c r="F14" s="170" t="s">
        <v>26</v>
      </c>
      <c r="G14" s="35"/>
      <c r="H14" s="36"/>
      <c r="I14" s="99"/>
      <c r="J14" s="99"/>
      <c r="K14" s="99"/>
      <c r="L14" s="99"/>
      <c r="M14" s="99"/>
      <c r="N14" s="99"/>
      <c r="O14" s="99"/>
      <c r="P14" s="99"/>
      <c r="Q14" s="99"/>
      <c r="R14" s="99"/>
      <c r="S14" s="99"/>
      <c r="T14" s="99"/>
      <c r="U14" s="99"/>
    </row>
    <row r="15" spans="1:21" ht="15">
      <c r="A15" s="103"/>
      <c r="B15" s="170" t="s">
        <v>27</v>
      </c>
      <c r="C15" s="37"/>
      <c r="D15" s="35"/>
      <c r="E15" s="36"/>
      <c r="F15" s="170" t="s">
        <v>28</v>
      </c>
      <c r="G15" s="35"/>
      <c r="H15" s="36"/>
      <c r="I15" s="99"/>
      <c r="J15" s="99"/>
      <c r="K15" s="99"/>
      <c r="L15" s="99"/>
      <c r="M15" s="99"/>
      <c r="N15" s="99"/>
      <c r="O15" s="99"/>
      <c r="P15" s="99"/>
      <c r="Q15" s="99"/>
      <c r="R15" s="99"/>
      <c r="S15" s="99"/>
      <c r="T15" s="99"/>
      <c r="U15" s="99"/>
    </row>
    <row r="16" spans="1:21" ht="15.75" thickBot="1">
      <c r="A16" s="103"/>
      <c r="B16" s="171" t="s">
        <v>29</v>
      </c>
      <c r="C16" s="60"/>
      <c r="D16" s="60"/>
      <c r="E16" s="61"/>
      <c r="F16" s="171" t="s">
        <v>30</v>
      </c>
      <c r="G16" s="179"/>
      <c r="H16" s="61"/>
      <c r="I16" s="99"/>
      <c r="J16" s="99"/>
      <c r="K16" s="99"/>
      <c r="L16" s="99"/>
      <c r="M16" s="99"/>
      <c r="N16" s="99"/>
      <c r="O16" s="99"/>
      <c r="P16" s="99"/>
      <c r="Q16" s="99"/>
      <c r="R16" s="99"/>
      <c r="S16" s="99"/>
      <c r="T16" s="99"/>
      <c r="U16" s="99"/>
    </row>
    <row r="17" spans="1:21" ht="16.5">
      <c r="A17" s="103"/>
      <c r="B17" s="172" t="s">
        <v>117</v>
      </c>
      <c r="C17" s="106"/>
      <c r="D17" s="188">
        <v>7000</v>
      </c>
      <c r="E17" s="188" t="s">
        <v>82</v>
      </c>
      <c r="F17" s="196">
        <f>D17*E40/1000</f>
        <v>68.595625</v>
      </c>
      <c r="G17" s="197" t="s">
        <v>8</v>
      </c>
      <c r="H17" s="186"/>
      <c r="I17" s="99"/>
      <c r="J17" s="99"/>
      <c r="K17" s="99"/>
      <c r="L17" s="99"/>
      <c r="M17" s="99"/>
      <c r="N17" s="99"/>
      <c r="O17" s="99"/>
      <c r="P17" s="99"/>
      <c r="Q17" s="99"/>
      <c r="R17" s="99"/>
      <c r="S17" s="99"/>
      <c r="T17" s="99"/>
      <c r="U17" s="99"/>
    </row>
    <row r="18" spans="1:21" ht="16.5">
      <c r="A18" s="103"/>
      <c r="B18" s="173" t="s">
        <v>118</v>
      </c>
      <c r="C18" s="104"/>
      <c r="D18" s="180">
        <v>0</v>
      </c>
      <c r="E18" s="180" t="s">
        <v>82</v>
      </c>
      <c r="F18" s="194">
        <f>D18*E40/1000</f>
        <v>0</v>
      </c>
      <c r="G18" s="195" t="s">
        <v>8</v>
      </c>
      <c r="H18" s="184"/>
      <c r="I18" s="99"/>
      <c r="J18" s="99"/>
      <c r="K18" s="99"/>
      <c r="L18" s="99"/>
      <c r="M18" s="99"/>
      <c r="N18" s="99"/>
      <c r="O18" s="99"/>
      <c r="P18" s="99"/>
      <c r="Q18" s="99"/>
      <c r="R18" s="99"/>
      <c r="S18" s="99"/>
      <c r="T18" s="99"/>
      <c r="U18" s="99"/>
    </row>
    <row r="19" spans="1:21" ht="16.5">
      <c r="A19" s="103"/>
      <c r="B19" s="174" t="s">
        <v>55</v>
      </c>
      <c r="C19" s="104"/>
      <c r="D19" s="180">
        <v>3000</v>
      </c>
      <c r="E19" s="10"/>
      <c r="F19" s="127"/>
      <c r="G19" s="127"/>
      <c r="H19" s="184"/>
      <c r="I19" s="99"/>
      <c r="J19" s="99"/>
      <c r="K19" s="99"/>
      <c r="L19" s="99"/>
      <c r="M19" s="99"/>
      <c r="N19" s="99"/>
      <c r="O19" s="99"/>
      <c r="P19" s="99"/>
      <c r="Q19" s="99"/>
      <c r="R19" s="99"/>
      <c r="S19" s="99"/>
      <c r="T19" s="99"/>
      <c r="U19" s="99"/>
    </row>
    <row r="20" spans="1:21" ht="15">
      <c r="A20" s="103"/>
      <c r="B20" s="173" t="s">
        <v>42</v>
      </c>
      <c r="C20" s="104"/>
      <c r="D20" s="180">
        <f>E20+2</f>
        <v>3</v>
      </c>
      <c r="E20" s="14">
        <v>1</v>
      </c>
      <c r="F20" s="104"/>
      <c r="G20" s="109"/>
      <c r="H20" s="177"/>
      <c r="I20" s="99"/>
      <c r="J20" s="99"/>
      <c r="K20" s="99"/>
      <c r="L20" s="99"/>
      <c r="M20" s="99"/>
      <c r="N20" s="99"/>
      <c r="O20" s="99"/>
      <c r="P20" s="99"/>
      <c r="Q20" s="99"/>
      <c r="R20" s="99"/>
      <c r="S20" s="99"/>
      <c r="T20" s="99"/>
      <c r="U20" s="99"/>
    </row>
    <row r="21" spans="1:21" ht="17.25" thickBot="1">
      <c r="A21" s="103"/>
      <c r="B21" s="175" t="s">
        <v>119</v>
      </c>
      <c r="C21" s="176"/>
      <c r="D21" s="189">
        <v>0.933</v>
      </c>
      <c r="E21" s="198" t="s">
        <v>82</v>
      </c>
      <c r="F21" s="176"/>
      <c r="G21" s="199"/>
      <c r="H21" s="178"/>
      <c r="I21" s="99"/>
      <c r="J21" s="99"/>
      <c r="K21" s="99"/>
      <c r="L21" s="99"/>
      <c r="M21" s="99"/>
      <c r="N21" s="99"/>
      <c r="O21" s="99"/>
      <c r="P21" s="99"/>
      <c r="Q21" s="99"/>
      <c r="R21" s="99"/>
      <c r="S21" s="99"/>
      <c r="T21" s="99"/>
      <c r="U21" s="99"/>
    </row>
    <row r="22" spans="1:21" ht="15">
      <c r="A22" s="103"/>
      <c r="B22" s="173" t="s">
        <v>41</v>
      </c>
      <c r="C22" s="104"/>
      <c r="D22" s="187" t="s">
        <v>71</v>
      </c>
      <c r="E22" s="104"/>
      <c r="F22" s="104"/>
      <c r="G22" s="104"/>
      <c r="H22" s="104"/>
      <c r="I22" s="99"/>
      <c r="J22" s="99"/>
      <c r="K22" s="99"/>
      <c r="L22" s="99"/>
      <c r="M22" s="99"/>
      <c r="N22" s="99"/>
      <c r="O22" s="99"/>
      <c r="P22" s="99"/>
      <c r="Q22" s="99"/>
      <c r="R22" s="99"/>
      <c r="S22" s="99"/>
      <c r="T22" s="99"/>
      <c r="U22" s="99"/>
    </row>
    <row r="23" spans="1:21" ht="18" customHeight="1">
      <c r="A23" s="103"/>
      <c r="B23" s="173" t="s">
        <v>43</v>
      </c>
      <c r="C23" s="104"/>
      <c r="D23" s="181" t="s">
        <v>72</v>
      </c>
      <c r="E23" s="104"/>
      <c r="F23" s="104"/>
      <c r="G23" s="104"/>
      <c r="H23" s="104"/>
      <c r="I23" s="99"/>
      <c r="J23" s="99"/>
      <c r="K23" s="99"/>
      <c r="L23" s="99"/>
      <c r="M23" s="99"/>
      <c r="N23" s="99"/>
      <c r="O23" s="99"/>
      <c r="P23" s="99"/>
      <c r="Q23" s="99"/>
      <c r="R23" s="99"/>
      <c r="S23" s="99"/>
      <c r="T23" s="99"/>
      <c r="U23" s="99"/>
    </row>
    <row r="24" spans="1:21" ht="17.25" thickBot="1">
      <c r="A24" s="103"/>
      <c r="B24" s="182" t="s">
        <v>120</v>
      </c>
      <c r="C24" s="176"/>
      <c r="D24" s="183">
        <v>0.7</v>
      </c>
      <c r="E24" s="104"/>
      <c r="F24" s="104"/>
      <c r="G24" s="104"/>
      <c r="H24" s="104"/>
      <c r="I24" s="99"/>
      <c r="J24" s="99"/>
      <c r="K24" s="99"/>
      <c r="L24" s="99"/>
      <c r="M24" s="99"/>
      <c r="N24" s="99"/>
      <c r="O24" s="99"/>
      <c r="P24" s="99"/>
      <c r="Q24" s="99"/>
      <c r="R24" s="99"/>
      <c r="S24" s="99"/>
      <c r="T24" s="99"/>
      <c r="U24" s="99"/>
    </row>
    <row r="25" spans="1:21" ht="15.75" thickBot="1">
      <c r="A25" s="103"/>
      <c r="B25" s="104"/>
      <c r="C25" s="176"/>
      <c r="D25" s="185"/>
      <c r="E25" s="104"/>
      <c r="F25" s="104"/>
      <c r="G25" s="104"/>
      <c r="H25" s="104"/>
      <c r="I25" s="99"/>
      <c r="J25" s="99"/>
      <c r="K25" s="99"/>
      <c r="L25" s="99"/>
      <c r="M25" s="99"/>
      <c r="N25" s="99"/>
      <c r="O25" s="99"/>
      <c r="P25" s="99"/>
      <c r="Q25" s="99"/>
      <c r="R25" s="99"/>
      <c r="S25" s="99"/>
      <c r="T25" s="99"/>
      <c r="U25" s="99"/>
    </row>
    <row r="26" spans="1:21" ht="15.75" thickBot="1">
      <c r="A26" s="103"/>
      <c r="B26" s="104"/>
      <c r="C26" s="58" t="s">
        <v>60</v>
      </c>
      <c r="D26" s="43"/>
      <c r="E26" s="44"/>
      <c r="F26" s="58" t="s">
        <v>56</v>
      </c>
      <c r="G26" s="43"/>
      <c r="H26" s="44"/>
      <c r="I26" s="99"/>
      <c r="J26" s="99"/>
      <c r="K26" s="99"/>
      <c r="L26" s="99"/>
      <c r="M26" s="99"/>
      <c r="N26" s="99"/>
      <c r="O26" s="99"/>
      <c r="P26" s="99"/>
      <c r="Q26" s="99"/>
      <c r="R26" s="99"/>
      <c r="S26" s="99"/>
      <c r="T26" s="99"/>
      <c r="U26" s="99"/>
    </row>
    <row r="27" spans="1:21" ht="15">
      <c r="A27" s="103"/>
      <c r="B27" s="31" t="s">
        <v>22</v>
      </c>
      <c r="C27" s="95" t="s">
        <v>78</v>
      </c>
      <c r="D27" s="92"/>
      <c r="E27" s="45"/>
      <c r="F27" s="46" t="s">
        <v>22</v>
      </c>
      <c r="G27" s="92" t="s">
        <v>23</v>
      </c>
      <c r="H27" s="33"/>
      <c r="I27" s="99"/>
      <c r="J27" s="99"/>
      <c r="K27" s="99"/>
      <c r="L27" s="99"/>
      <c r="M27" s="99"/>
      <c r="N27" s="99"/>
      <c r="O27" s="99"/>
      <c r="P27" s="99"/>
      <c r="Q27" s="99"/>
      <c r="R27" s="99"/>
      <c r="S27" s="99"/>
      <c r="T27" s="99"/>
      <c r="U27" s="99"/>
    </row>
    <row r="28" spans="1:21" ht="15">
      <c r="A28" s="103"/>
      <c r="B28" s="34" t="s">
        <v>24</v>
      </c>
      <c r="C28" s="96" t="s">
        <v>73</v>
      </c>
      <c r="D28" s="86"/>
      <c r="E28" s="47"/>
      <c r="F28" s="48" t="s">
        <v>24</v>
      </c>
      <c r="G28" s="86" t="s">
        <v>73</v>
      </c>
      <c r="H28" s="36"/>
      <c r="I28" s="99"/>
      <c r="J28" s="99"/>
      <c r="K28" s="99"/>
      <c r="L28" s="99"/>
      <c r="M28" s="99"/>
      <c r="N28" s="99"/>
      <c r="O28" s="99"/>
      <c r="P28" s="99"/>
      <c r="Q28" s="99"/>
      <c r="R28" s="99"/>
      <c r="S28" s="99"/>
      <c r="T28" s="99"/>
      <c r="U28" s="99"/>
    </row>
    <row r="29" spans="1:21" ht="15">
      <c r="A29" s="103"/>
      <c r="B29" s="34" t="s">
        <v>25</v>
      </c>
      <c r="C29" s="96" t="s">
        <v>76</v>
      </c>
      <c r="D29" s="86"/>
      <c r="E29" s="47"/>
      <c r="F29" s="48" t="s">
        <v>25</v>
      </c>
      <c r="G29" s="86" t="s">
        <v>74</v>
      </c>
      <c r="H29" s="36"/>
      <c r="I29" s="99"/>
      <c r="J29" s="99"/>
      <c r="K29" s="99"/>
      <c r="L29" s="99"/>
      <c r="M29" s="99"/>
      <c r="N29" s="99"/>
      <c r="O29" s="99"/>
      <c r="P29" s="99"/>
      <c r="Q29" s="99"/>
      <c r="R29" s="99"/>
      <c r="S29" s="99"/>
      <c r="T29" s="99"/>
      <c r="U29" s="99"/>
    </row>
    <row r="30" spans="1:21" ht="15">
      <c r="A30" s="103"/>
      <c r="B30" s="34" t="s">
        <v>26</v>
      </c>
      <c r="C30" s="96" t="s">
        <v>77</v>
      </c>
      <c r="D30" s="86"/>
      <c r="E30" s="47"/>
      <c r="F30" s="48" t="s">
        <v>26</v>
      </c>
      <c r="G30" s="86" t="s">
        <v>75</v>
      </c>
      <c r="H30" s="36"/>
      <c r="I30" s="99"/>
      <c r="J30" s="99"/>
      <c r="K30" s="99"/>
      <c r="L30" s="99"/>
      <c r="M30" s="99"/>
      <c r="N30" s="99"/>
      <c r="O30" s="99"/>
      <c r="P30" s="99"/>
      <c r="Q30" s="99"/>
      <c r="R30" s="99"/>
      <c r="S30" s="99"/>
      <c r="T30" s="99"/>
      <c r="U30" s="99"/>
    </row>
    <row r="31" spans="1:21" ht="15">
      <c r="A31" s="103"/>
      <c r="B31" s="34" t="s">
        <v>27</v>
      </c>
      <c r="C31" s="96">
        <v>100</v>
      </c>
      <c r="D31" s="86" t="s">
        <v>32</v>
      </c>
      <c r="E31" s="47"/>
      <c r="F31" s="48" t="s">
        <v>28</v>
      </c>
      <c r="G31" s="86">
        <v>1E-05</v>
      </c>
      <c r="H31" s="36"/>
      <c r="I31" s="99"/>
      <c r="J31" s="99"/>
      <c r="K31" s="99"/>
      <c r="L31" s="99"/>
      <c r="M31" s="99"/>
      <c r="N31" s="99"/>
      <c r="O31" s="99"/>
      <c r="P31" s="99"/>
      <c r="Q31" s="99"/>
      <c r="R31" s="99"/>
      <c r="S31" s="99"/>
      <c r="T31" s="99"/>
      <c r="U31" s="99"/>
    </row>
    <row r="32" spans="1:21" ht="15.75" thickBot="1">
      <c r="A32" s="103"/>
      <c r="B32" s="38" t="s">
        <v>87</v>
      </c>
      <c r="C32" s="97" t="s">
        <v>88</v>
      </c>
      <c r="D32" s="93"/>
      <c r="E32" s="49"/>
      <c r="F32" s="50" t="s">
        <v>30</v>
      </c>
      <c r="G32" s="94" t="s">
        <v>31</v>
      </c>
      <c r="H32" s="39"/>
      <c r="I32" s="99"/>
      <c r="J32" s="99"/>
      <c r="K32" s="99"/>
      <c r="L32" s="99"/>
      <c r="M32" s="99"/>
      <c r="N32" s="99"/>
      <c r="O32" s="99"/>
      <c r="P32" s="99"/>
      <c r="Q32" s="99"/>
      <c r="R32" s="99"/>
      <c r="S32" s="99"/>
      <c r="T32" s="99"/>
      <c r="U32" s="99"/>
    </row>
    <row r="33" spans="1:21" ht="15.75" customHeight="1" thickBot="1">
      <c r="A33" s="103"/>
      <c r="B33" s="104"/>
      <c r="C33" s="111"/>
      <c r="D33" s="111"/>
      <c r="E33" s="104"/>
      <c r="F33" s="104"/>
      <c r="G33" s="104"/>
      <c r="H33" s="104"/>
      <c r="I33" s="99"/>
      <c r="J33" s="99"/>
      <c r="K33" s="99"/>
      <c r="L33" s="99"/>
      <c r="M33" s="99"/>
      <c r="N33" s="99"/>
      <c r="O33" s="99"/>
      <c r="P33" s="99"/>
      <c r="Q33" s="99"/>
      <c r="R33" s="99"/>
      <c r="S33" s="99"/>
      <c r="T33" s="99"/>
      <c r="U33" s="99"/>
    </row>
    <row r="34" spans="1:21" ht="15" customHeight="1">
      <c r="A34" s="103"/>
      <c r="B34" s="57" t="s">
        <v>57</v>
      </c>
      <c r="C34" s="29"/>
      <c r="D34" s="29"/>
      <c r="E34" s="29"/>
      <c r="F34" s="29"/>
      <c r="G34" s="29"/>
      <c r="H34" s="30"/>
      <c r="I34" s="99"/>
      <c r="J34" s="99"/>
      <c r="K34" s="99"/>
      <c r="L34" s="99"/>
      <c r="M34" s="99"/>
      <c r="N34" s="99"/>
      <c r="O34" s="99"/>
      <c r="P34" s="99"/>
      <c r="Q34" s="99"/>
      <c r="R34" s="99"/>
      <c r="S34" s="99"/>
      <c r="T34" s="99"/>
      <c r="U34" s="99"/>
    </row>
    <row r="35" spans="1:21" ht="15" customHeight="1">
      <c r="A35" s="103"/>
      <c r="B35" s="90" t="s">
        <v>83</v>
      </c>
      <c r="C35" s="28"/>
      <c r="D35" s="28"/>
      <c r="E35" s="28"/>
      <c r="F35" s="113" t="s">
        <v>89</v>
      </c>
      <c r="G35" s="28"/>
      <c r="H35" s="40"/>
      <c r="I35" s="99"/>
      <c r="J35" s="99"/>
      <c r="K35" s="99"/>
      <c r="L35" s="99"/>
      <c r="M35" s="99"/>
      <c r="N35" s="99"/>
      <c r="O35" s="99"/>
      <c r="P35" s="99"/>
      <c r="Q35" s="99"/>
      <c r="R35" s="99"/>
      <c r="S35" s="99"/>
      <c r="T35" s="99"/>
      <c r="U35" s="99"/>
    </row>
    <row r="36" spans="1:21" ht="15" customHeight="1">
      <c r="A36" s="103"/>
      <c r="B36" s="59" t="s">
        <v>58</v>
      </c>
      <c r="C36" s="28"/>
      <c r="D36" s="28" t="s">
        <v>84</v>
      </c>
      <c r="E36" s="28"/>
      <c r="F36" s="28"/>
      <c r="G36" s="28"/>
      <c r="H36" s="40"/>
      <c r="I36" s="99"/>
      <c r="J36" s="99"/>
      <c r="K36" s="99"/>
      <c r="L36" s="99"/>
      <c r="M36" s="99"/>
      <c r="N36" s="99"/>
      <c r="O36" s="99"/>
      <c r="P36" s="99"/>
      <c r="Q36" s="99"/>
      <c r="R36" s="99"/>
      <c r="S36" s="99"/>
      <c r="T36" s="99"/>
      <c r="U36" s="99"/>
    </row>
    <row r="37" spans="1:21" ht="15" customHeight="1">
      <c r="A37" s="103"/>
      <c r="B37" s="59" t="s">
        <v>33</v>
      </c>
      <c r="C37" s="28"/>
      <c r="D37" s="28" t="s">
        <v>85</v>
      </c>
      <c r="E37" s="28"/>
      <c r="F37" s="28"/>
      <c r="G37" s="28"/>
      <c r="H37" s="40"/>
      <c r="I37" s="99"/>
      <c r="J37" s="99"/>
      <c r="K37" s="99"/>
      <c r="L37" s="99"/>
      <c r="M37" s="99"/>
      <c r="N37" s="99"/>
      <c r="O37" s="99"/>
      <c r="P37" s="99"/>
      <c r="Q37" s="99"/>
      <c r="R37" s="99"/>
      <c r="S37" s="99"/>
      <c r="T37" s="99"/>
      <c r="U37" s="99"/>
    </row>
    <row r="38" spans="1:21" ht="15.75" customHeight="1" thickBot="1">
      <c r="A38" s="103"/>
      <c r="B38" s="91"/>
      <c r="C38" s="41"/>
      <c r="D38" s="41" t="s">
        <v>86</v>
      </c>
      <c r="E38" s="41"/>
      <c r="F38" s="41"/>
      <c r="G38" s="41"/>
      <c r="H38" s="42"/>
      <c r="I38" s="99"/>
      <c r="J38" s="99"/>
      <c r="K38" s="99"/>
      <c r="L38" s="99"/>
      <c r="M38" s="99"/>
      <c r="N38" s="99"/>
      <c r="O38" s="99"/>
      <c r="P38" s="99"/>
      <c r="Q38" s="99"/>
      <c r="R38" s="99"/>
      <c r="S38" s="99"/>
      <c r="T38" s="99"/>
      <c r="U38" s="99"/>
    </row>
    <row r="39" spans="1:21" ht="6" customHeight="1">
      <c r="A39" s="103"/>
      <c r="B39" s="104"/>
      <c r="C39" s="104"/>
      <c r="D39" s="104"/>
      <c r="E39" s="104"/>
      <c r="F39" s="104"/>
      <c r="G39" s="104"/>
      <c r="H39" s="104"/>
      <c r="I39" s="99"/>
      <c r="J39" s="99"/>
      <c r="K39" s="99"/>
      <c r="L39" s="99"/>
      <c r="M39" s="99"/>
      <c r="N39" s="99"/>
      <c r="O39" s="99"/>
      <c r="P39" s="99"/>
      <c r="Q39" s="99"/>
      <c r="R39" s="99"/>
      <c r="S39" s="99"/>
      <c r="T39" s="99"/>
      <c r="U39" s="99"/>
    </row>
    <row r="40" spans="1:21" ht="16.5" customHeight="1">
      <c r="A40" s="103"/>
      <c r="B40" s="190" t="s">
        <v>121</v>
      </c>
      <c r="C40" s="191"/>
      <c r="D40" s="192"/>
      <c r="E40" s="193">
        <v>9.799375</v>
      </c>
      <c r="F40" s="112"/>
      <c r="G40" s="112"/>
      <c r="H40" s="112"/>
      <c r="I40" s="99"/>
      <c r="J40" s="99"/>
      <c r="K40" s="99"/>
      <c r="L40" s="99"/>
      <c r="M40" s="99"/>
      <c r="N40" s="99"/>
      <c r="O40" s="99"/>
      <c r="P40" s="99"/>
      <c r="Q40" s="99"/>
      <c r="R40" s="99"/>
      <c r="S40" s="99"/>
      <c r="T40" s="99"/>
      <c r="U40" s="99"/>
    </row>
    <row r="41" spans="1:21" ht="16.5" customHeight="1" thickBot="1">
      <c r="A41" s="103"/>
      <c r="B41" s="110"/>
      <c r="C41" s="114" t="s">
        <v>44</v>
      </c>
      <c r="D41" s="114" t="s">
        <v>45</v>
      </c>
      <c r="E41" s="104"/>
      <c r="F41" s="104" t="s">
        <v>34</v>
      </c>
      <c r="G41" s="104"/>
      <c r="H41" s="104"/>
      <c r="I41" s="99"/>
      <c r="J41" s="99"/>
      <c r="K41" s="99"/>
      <c r="L41" s="99"/>
      <c r="M41" s="99"/>
      <c r="N41" s="99"/>
      <c r="O41" s="99"/>
      <c r="P41" s="99"/>
      <c r="Q41" s="99"/>
      <c r="R41" s="99"/>
      <c r="S41" s="99"/>
      <c r="T41" s="99"/>
      <c r="U41" s="99"/>
    </row>
    <row r="42" spans="1:21" ht="15">
      <c r="A42" s="103"/>
      <c r="B42" s="109" t="s">
        <v>47</v>
      </c>
      <c r="C42" s="87">
        <v>0.4166666666666667</v>
      </c>
      <c r="D42" s="88">
        <v>0.5277777777777778</v>
      </c>
      <c r="E42" s="104"/>
      <c r="F42" s="51" t="s">
        <v>50</v>
      </c>
      <c r="G42" s="53" t="s">
        <v>48</v>
      </c>
      <c r="H42" s="52" t="s">
        <v>81</v>
      </c>
      <c r="I42" s="99"/>
      <c r="J42" s="99"/>
      <c r="K42" s="99"/>
      <c r="L42" s="99"/>
      <c r="M42" s="99"/>
      <c r="N42" s="99"/>
      <c r="O42" s="99"/>
      <c r="P42" s="99"/>
      <c r="Q42" s="99"/>
      <c r="R42" s="99"/>
      <c r="S42" s="99"/>
      <c r="T42" s="99"/>
      <c r="U42" s="99"/>
    </row>
    <row r="43" spans="1:21" ht="15.75" thickBot="1">
      <c r="A43" s="103"/>
      <c r="B43" s="109" t="s">
        <v>46</v>
      </c>
      <c r="C43" s="89" t="s">
        <v>79</v>
      </c>
      <c r="D43" s="89" t="s">
        <v>79</v>
      </c>
      <c r="E43" s="104"/>
      <c r="F43" s="54"/>
      <c r="G43" s="56" t="s">
        <v>49</v>
      </c>
      <c r="H43" s="55" t="s">
        <v>80</v>
      </c>
      <c r="I43" s="99"/>
      <c r="J43" s="99"/>
      <c r="K43" s="99"/>
      <c r="L43" s="99"/>
      <c r="M43" s="99"/>
      <c r="N43" s="99"/>
      <c r="O43" s="99"/>
      <c r="P43" s="99"/>
      <c r="Q43" s="99"/>
      <c r="R43" s="99"/>
      <c r="S43" s="99"/>
      <c r="T43" s="99"/>
      <c r="U43" s="99"/>
    </row>
    <row r="44" spans="1:21" ht="15.75">
      <c r="A44" s="103"/>
      <c r="B44" s="115" t="s">
        <v>35</v>
      </c>
      <c r="C44" s="111"/>
      <c r="D44" s="111"/>
      <c r="E44" s="111"/>
      <c r="F44" s="111"/>
      <c r="G44" s="111"/>
      <c r="H44" s="111"/>
      <c r="I44" s="99"/>
      <c r="J44" s="99"/>
      <c r="K44" s="99"/>
      <c r="L44" s="99"/>
      <c r="M44" s="99"/>
      <c r="N44" s="99"/>
      <c r="O44" s="99"/>
      <c r="P44" s="99"/>
      <c r="Q44" s="99"/>
      <c r="R44" s="99"/>
      <c r="S44" s="99"/>
      <c r="T44" s="99"/>
      <c r="U44" s="99"/>
    </row>
    <row r="45" spans="1:21" ht="12.75">
      <c r="A45" s="103"/>
      <c r="B45" s="111"/>
      <c r="C45" s="111"/>
      <c r="D45" s="111"/>
      <c r="E45" s="111"/>
      <c r="F45" s="111"/>
      <c r="G45" s="111"/>
      <c r="H45" s="111"/>
      <c r="I45" s="99"/>
      <c r="J45" s="99"/>
      <c r="K45" s="99"/>
      <c r="L45" s="99"/>
      <c r="M45" s="99"/>
      <c r="N45" s="99"/>
      <c r="O45" s="99"/>
      <c r="P45" s="99"/>
      <c r="Q45" s="99"/>
      <c r="R45" s="99"/>
      <c r="S45" s="99"/>
      <c r="T45" s="99"/>
      <c r="U45" s="99"/>
    </row>
    <row r="46" spans="1:21" ht="12.75">
      <c r="A46" s="103"/>
      <c r="B46" s="111"/>
      <c r="C46" s="111"/>
      <c r="D46" s="111"/>
      <c r="E46" s="111"/>
      <c r="F46" s="111"/>
      <c r="G46" s="111"/>
      <c r="H46" s="111"/>
      <c r="I46" s="99"/>
      <c r="J46" s="99"/>
      <c r="K46" s="99"/>
      <c r="L46" s="99"/>
      <c r="M46" s="99"/>
      <c r="N46" s="99"/>
      <c r="O46" s="99"/>
      <c r="P46" s="99"/>
      <c r="Q46" s="99"/>
      <c r="R46" s="99"/>
      <c r="S46" s="99"/>
      <c r="T46" s="99"/>
      <c r="U46" s="99"/>
    </row>
    <row r="47" spans="1:21" ht="12.75">
      <c r="A47" s="103"/>
      <c r="B47" s="111"/>
      <c r="C47" s="111"/>
      <c r="D47" s="111"/>
      <c r="E47" s="111"/>
      <c r="F47" s="111"/>
      <c r="G47" s="111"/>
      <c r="H47" s="111"/>
      <c r="I47" s="99"/>
      <c r="J47" s="99"/>
      <c r="K47" s="99"/>
      <c r="L47" s="99"/>
      <c r="M47" s="99"/>
      <c r="N47" s="99"/>
      <c r="O47" s="99"/>
      <c r="P47" s="99"/>
      <c r="Q47" s="99"/>
      <c r="R47" s="99"/>
      <c r="S47" s="99"/>
      <c r="T47" s="99"/>
      <c r="U47" s="99"/>
    </row>
    <row r="48" spans="1:21" ht="12.75">
      <c r="A48" s="103"/>
      <c r="B48" s="103"/>
      <c r="C48" s="103"/>
      <c r="D48" s="103"/>
      <c r="E48" s="103"/>
      <c r="F48" s="103"/>
      <c r="G48" s="103"/>
      <c r="H48" s="103"/>
      <c r="I48" s="99"/>
      <c r="J48" s="99"/>
      <c r="K48" s="99"/>
      <c r="L48" s="99"/>
      <c r="M48" s="99"/>
      <c r="N48" s="99"/>
      <c r="O48" s="99"/>
      <c r="P48" s="99"/>
      <c r="Q48" s="99"/>
      <c r="R48" s="99"/>
      <c r="S48" s="99"/>
      <c r="T48" s="99"/>
      <c r="U48" s="99"/>
    </row>
    <row r="49" spans="1:21" ht="12.75">
      <c r="A49" s="103"/>
      <c r="B49" s="103"/>
      <c r="C49" s="103"/>
      <c r="D49" s="103"/>
      <c r="E49" s="103"/>
      <c r="F49" s="103"/>
      <c r="G49" s="103"/>
      <c r="H49" s="103"/>
      <c r="I49" s="99"/>
      <c r="J49" s="99"/>
      <c r="K49" s="99"/>
      <c r="L49" s="99"/>
      <c r="M49" s="99"/>
      <c r="N49" s="99"/>
      <c r="O49" s="99"/>
      <c r="P49" s="99"/>
      <c r="Q49" s="99"/>
      <c r="R49" s="99"/>
      <c r="S49" s="99"/>
      <c r="T49" s="99"/>
      <c r="U49" s="99"/>
    </row>
    <row r="50" spans="1:21" ht="12.75">
      <c r="A50" s="103"/>
      <c r="B50" s="103"/>
      <c r="C50" s="103"/>
      <c r="D50" s="103"/>
      <c r="E50" s="103"/>
      <c r="F50" s="103"/>
      <c r="G50" s="103"/>
      <c r="H50" s="103"/>
      <c r="I50" s="99"/>
      <c r="J50" s="99"/>
      <c r="K50" s="99"/>
      <c r="L50" s="99"/>
      <c r="M50" s="99"/>
      <c r="N50" s="99"/>
      <c r="O50" s="99"/>
      <c r="P50" s="99"/>
      <c r="Q50" s="99"/>
      <c r="R50" s="99"/>
      <c r="S50" s="99"/>
      <c r="T50" s="99"/>
      <c r="U50" s="99"/>
    </row>
    <row r="51" spans="1:21" ht="12.75">
      <c r="A51" s="103"/>
      <c r="B51" s="103"/>
      <c r="C51" s="103"/>
      <c r="D51" s="103"/>
      <c r="E51" s="103"/>
      <c r="F51" s="103"/>
      <c r="G51" s="103"/>
      <c r="H51" s="103"/>
      <c r="I51" s="99"/>
      <c r="J51" s="99"/>
      <c r="K51" s="99"/>
      <c r="L51" s="99"/>
      <c r="M51" s="99"/>
      <c r="N51" s="99"/>
      <c r="O51" s="99"/>
      <c r="P51" s="99"/>
      <c r="Q51" s="99"/>
      <c r="R51" s="99"/>
      <c r="S51" s="99"/>
      <c r="T51" s="99"/>
      <c r="U51" s="99"/>
    </row>
    <row r="52" spans="1:21" ht="12.75">
      <c r="A52" s="103"/>
      <c r="B52" s="103"/>
      <c r="C52" s="103"/>
      <c r="D52" s="103"/>
      <c r="E52" s="103"/>
      <c r="F52" s="103"/>
      <c r="G52" s="103"/>
      <c r="H52" s="103"/>
      <c r="I52" s="99"/>
      <c r="J52" s="99"/>
      <c r="K52" s="99"/>
      <c r="L52" s="99"/>
      <c r="M52" s="99"/>
      <c r="N52" s="99"/>
      <c r="O52" s="99"/>
      <c r="P52" s="99"/>
      <c r="Q52" s="99"/>
      <c r="R52" s="99"/>
      <c r="S52" s="99"/>
      <c r="T52" s="99"/>
      <c r="U52" s="99"/>
    </row>
    <row r="53" spans="1:21" ht="12.75">
      <c r="A53" s="103"/>
      <c r="B53" s="103"/>
      <c r="C53" s="103"/>
      <c r="D53" s="103"/>
      <c r="E53" s="103"/>
      <c r="F53" s="103"/>
      <c r="G53" s="103"/>
      <c r="H53" s="103"/>
      <c r="I53" s="99"/>
      <c r="J53" s="99"/>
      <c r="K53" s="99"/>
      <c r="L53" s="99"/>
      <c r="M53" s="99"/>
      <c r="N53" s="99"/>
      <c r="O53" s="99"/>
      <c r="P53" s="99"/>
      <c r="Q53" s="99"/>
      <c r="R53" s="99"/>
      <c r="S53" s="99"/>
      <c r="T53" s="99"/>
      <c r="U53" s="99"/>
    </row>
    <row r="54" spans="1:21" ht="12.75">
      <c r="A54" s="103"/>
      <c r="B54" s="103"/>
      <c r="C54" s="103"/>
      <c r="D54" s="103"/>
      <c r="E54" s="103"/>
      <c r="F54" s="103"/>
      <c r="G54" s="103"/>
      <c r="H54" s="103"/>
      <c r="I54" s="99"/>
      <c r="J54" s="99"/>
      <c r="K54" s="99"/>
      <c r="L54" s="99"/>
      <c r="M54" s="99"/>
      <c r="N54" s="99"/>
      <c r="O54" s="99"/>
      <c r="P54" s="99"/>
      <c r="Q54" s="99"/>
      <c r="R54" s="99"/>
      <c r="S54" s="99"/>
      <c r="T54" s="99"/>
      <c r="U54" s="99"/>
    </row>
    <row r="55" spans="1:21" ht="12.75">
      <c r="A55" s="103"/>
      <c r="B55" s="103"/>
      <c r="C55" s="103"/>
      <c r="D55" s="103"/>
      <c r="E55" s="103"/>
      <c r="F55" s="103"/>
      <c r="G55" s="103"/>
      <c r="H55" s="103"/>
      <c r="I55" s="99"/>
      <c r="J55" s="99"/>
      <c r="K55" s="99"/>
      <c r="L55" s="99"/>
      <c r="M55" s="99"/>
      <c r="N55" s="99"/>
      <c r="O55" s="99"/>
      <c r="P55" s="99"/>
      <c r="Q55" s="99"/>
      <c r="R55" s="99"/>
      <c r="S55" s="99"/>
      <c r="T55" s="99"/>
      <c r="U55" s="99"/>
    </row>
    <row r="56" spans="1:21" ht="12.75">
      <c r="A56" s="99"/>
      <c r="B56" s="99"/>
      <c r="C56" s="99"/>
      <c r="D56" s="99"/>
      <c r="E56" s="99"/>
      <c r="F56" s="99"/>
      <c r="G56" s="99"/>
      <c r="H56" s="99"/>
      <c r="I56" s="99"/>
      <c r="J56" s="99"/>
      <c r="K56" s="99"/>
      <c r="L56" s="99"/>
      <c r="M56" s="99"/>
      <c r="N56" s="99"/>
      <c r="O56" s="99"/>
      <c r="P56" s="99"/>
      <c r="Q56" s="99"/>
      <c r="R56" s="99"/>
      <c r="S56" s="99"/>
      <c r="T56" s="99"/>
      <c r="U56" s="99"/>
    </row>
    <row r="57" spans="1:21" ht="12.75">
      <c r="A57" s="99"/>
      <c r="B57" s="99"/>
      <c r="C57" s="99"/>
      <c r="D57" s="99"/>
      <c r="E57" s="99"/>
      <c r="F57" s="99"/>
      <c r="G57" s="99"/>
      <c r="H57" s="99"/>
      <c r="I57" s="99"/>
      <c r="J57" s="99"/>
      <c r="K57" s="99"/>
      <c r="L57" s="99"/>
      <c r="M57" s="99"/>
      <c r="N57" s="99"/>
      <c r="O57" s="99"/>
      <c r="P57" s="99"/>
      <c r="Q57" s="99"/>
      <c r="R57" s="99"/>
      <c r="S57" s="99"/>
      <c r="T57" s="99"/>
      <c r="U57" s="99"/>
    </row>
    <row r="58" spans="1:21" ht="12.75">
      <c r="A58" s="99"/>
      <c r="B58" s="99"/>
      <c r="C58" s="99"/>
      <c r="D58" s="99"/>
      <c r="E58" s="99"/>
      <c r="F58" s="99"/>
      <c r="G58" s="99"/>
      <c r="H58" s="99"/>
      <c r="I58" s="99"/>
      <c r="J58" s="99"/>
      <c r="K58" s="99"/>
      <c r="L58" s="99"/>
      <c r="M58" s="99"/>
      <c r="N58" s="99"/>
      <c r="O58" s="99"/>
      <c r="P58" s="99"/>
      <c r="Q58" s="99"/>
      <c r="R58" s="99"/>
      <c r="S58" s="99"/>
      <c r="T58" s="99"/>
      <c r="U58" s="99"/>
    </row>
    <row r="59" spans="1:21" ht="12.75">
      <c r="A59" s="99"/>
      <c r="B59" s="99"/>
      <c r="C59" s="99"/>
      <c r="D59" s="99"/>
      <c r="E59" s="99"/>
      <c r="F59" s="99"/>
      <c r="G59" s="99"/>
      <c r="H59" s="99"/>
      <c r="I59" s="99"/>
      <c r="J59" s="99"/>
      <c r="K59" s="99"/>
      <c r="L59" s="99"/>
      <c r="M59" s="99"/>
      <c r="N59" s="99"/>
      <c r="O59" s="99"/>
      <c r="P59" s="99"/>
      <c r="Q59" s="99"/>
      <c r="R59" s="99"/>
      <c r="S59" s="99"/>
      <c r="T59" s="99"/>
      <c r="U59" s="99"/>
    </row>
    <row r="60" spans="1:21" ht="12.75">
      <c r="A60" s="99"/>
      <c r="B60" s="99"/>
      <c r="C60" s="99"/>
      <c r="D60" s="99"/>
      <c r="E60" s="99"/>
      <c r="F60" s="99"/>
      <c r="G60" s="99"/>
      <c r="H60" s="99"/>
      <c r="I60" s="99"/>
      <c r="J60" s="99"/>
      <c r="K60" s="99"/>
      <c r="L60" s="99"/>
      <c r="M60" s="99"/>
      <c r="N60" s="99"/>
      <c r="O60" s="99"/>
      <c r="P60" s="99"/>
      <c r="Q60" s="99"/>
      <c r="R60" s="99"/>
      <c r="S60" s="99"/>
      <c r="T60" s="99"/>
      <c r="U60" s="99"/>
    </row>
    <row r="61" spans="1:21" ht="12.75">
      <c r="A61" s="99"/>
      <c r="B61" s="99"/>
      <c r="C61" s="99"/>
      <c r="D61" s="99"/>
      <c r="E61" s="99"/>
      <c r="F61" s="99"/>
      <c r="G61" s="99"/>
      <c r="H61" s="99"/>
      <c r="I61" s="99"/>
      <c r="J61" s="99"/>
      <c r="K61" s="99"/>
      <c r="L61" s="99"/>
      <c r="M61" s="99"/>
      <c r="N61" s="99"/>
      <c r="O61" s="99"/>
      <c r="P61" s="99"/>
      <c r="Q61" s="99"/>
      <c r="R61" s="99"/>
      <c r="S61" s="99"/>
      <c r="T61" s="99"/>
      <c r="U61" s="99"/>
    </row>
    <row r="62" spans="1:21" ht="12.75">
      <c r="A62" s="99"/>
      <c r="B62" s="99"/>
      <c r="C62" s="99"/>
      <c r="D62" s="99"/>
      <c r="E62" s="99"/>
      <c r="F62" s="99"/>
      <c r="G62" s="99"/>
      <c r="H62" s="99"/>
      <c r="I62" s="99"/>
      <c r="J62" s="99"/>
      <c r="K62" s="99"/>
      <c r="L62" s="99"/>
      <c r="M62" s="99"/>
      <c r="N62" s="99"/>
      <c r="O62" s="99"/>
      <c r="P62" s="99"/>
      <c r="Q62" s="99"/>
      <c r="R62" s="99"/>
      <c r="S62" s="99"/>
      <c r="T62" s="99"/>
      <c r="U62" s="99"/>
    </row>
    <row r="63" spans="1:21" ht="12.75">
      <c r="A63" s="99"/>
      <c r="B63" s="99"/>
      <c r="C63" s="99"/>
      <c r="D63" s="99"/>
      <c r="E63" s="99"/>
      <c r="F63" s="99"/>
      <c r="G63" s="99"/>
      <c r="H63" s="99"/>
      <c r="I63" s="99"/>
      <c r="J63" s="99"/>
      <c r="K63" s="99"/>
      <c r="L63" s="99"/>
      <c r="M63" s="99"/>
      <c r="N63" s="99"/>
      <c r="O63" s="99"/>
      <c r="P63" s="99"/>
      <c r="Q63" s="99"/>
      <c r="R63" s="99"/>
      <c r="S63" s="99"/>
      <c r="T63" s="99"/>
      <c r="U63" s="99"/>
    </row>
    <row r="64" spans="1:21" ht="12.75">
      <c r="A64" s="99"/>
      <c r="B64" s="99"/>
      <c r="C64" s="99"/>
      <c r="D64" s="99"/>
      <c r="E64" s="99"/>
      <c r="F64" s="99"/>
      <c r="G64" s="99"/>
      <c r="H64" s="99"/>
      <c r="I64" s="99"/>
      <c r="J64" s="99"/>
      <c r="K64" s="99"/>
      <c r="L64" s="99"/>
      <c r="M64" s="99"/>
      <c r="N64" s="99"/>
      <c r="O64" s="99"/>
      <c r="P64" s="99"/>
      <c r="Q64" s="99"/>
      <c r="R64" s="99"/>
      <c r="S64" s="99"/>
      <c r="T64" s="99"/>
      <c r="U64" s="99"/>
    </row>
    <row r="65" spans="1:21" ht="12.75">
      <c r="A65" s="99"/>
      <c r="B65" s="99"/>
      <c r="C65" s="99"/>
      <c r="D65" s="99"/>
      <c r="E65" s="99"/>
      <c r="F65" s="99"/>
      <c r="G65" s="99"/>
      <c r="H65" s="99"/>
      <c r="I65" s="99"/>
      <c r="J65" s="99"/>
      <c r="K65" s="99"/>
      <c r="L65" s="99"/>
      <c r="M65" s="99"/>
      <c r="N65" s="99"/>
      <c r="O65" s="99"/>
      <c r="P65" s="99"/>
      <c r="Q65" s="99"/>
      <c r="R65" s="99"/>
      <c r="S65" s="99"/>
      <c r="T65" s="99"/>
      <c r="U65" s="99"/>
    </row>
    <row r="66" spans="1:21" ht="12.75">
      <c r="A66" s="99"/>
      <c r="B66" s="99"/>
      <c r="C66" s="99"/>
      <c r="D66" s="99"/>
      <c r="E66" s="99"/>
      <c r="F66" s="99"/>
      <c r="G66" s="99"/>
      <c r="H66" s="99"/>
      <c r="I66" s="99"/>
      <c r="J66" s="99"/>
      <c r="K66" s="99"/>
      <c r="L66" s="99"/>
      <c r="M66" s="99"/>
      <c r="N66" s="99"/>
      <c r="O66" s="99"/>
      <c r="P66" s="99"/>
      <c r="Q66" s="99"/>
      <c r="R66" s="99"/>
      <c r="S66" s="99"/>
      <c r="T66" s="99"/>
      <c r="U66" s="99"/>
    </row>
    <row r="67" spans="1:21" ht="12.75">
      <c r="A67" s="99"/>
      <c r="B67" s="99"/>
      <c r="C67" s="99"/>
      <c r="D67" s="99"/>
      <c r="E67" s="99"/>
      <c r="F67" s="99"/>
      <c r="G67" s="99"/>
      <c r="H67" s="99"/>
      <c r="I67" s="99"/>
      <c r="J67" s="99"/>
      <c r="K67" s="99"/>
      <c r="L67" s="99"/>
      <c r="M67" s="99"/>
      <c r="N67" s="99"/>
      <c r="O67" s="99"/>
      <c r="P67" s="99"/>
      <c r="Q67" s="99"/>
      <c r="R67" s="99"/>
      <c r="S67" s="99"/>
      <c r="T67" s="99"/>
      <c r="U67" s="99"/>
    </row>
    <row r="68" spans="1:21" ht="12.75">
      <c r="A68" s="99"/>
      <c r="B68" s="99"/>
      <c r="C68" s="99"/>
      <c r="D68" s="99"/>
      <c r="E68" s="99"/>
      <c r="F68" s="99"/>
      <c r="G68" s="99"/>
      <c r="H68" s="99"/>
      <c r="I68" s="99"/>
      <c r="J68" s="99"/>
      <c r="K68" s="99"/>
      <c r="L68" s="99"/>
      <c r="M68" s="99"/>
      <c r="N68" s="99"/>
      <c r="O68" s="99"/>
      <c r="P68" s="99"/>
      <c r="Q68" s="99"/>
      <c r="R68" s="99"/>
      <c r="S68" s="99"/>
      <c r="T68" s="99"/>
      <c r="U68" s="99"/>
    </row>
    <row r="69" spans="1:21" ht="12.75">
      <c r="A69" s="99"/>
      <c r="B69" s="99"/>
      <c r="C69" s="99"/>
      <c r="D69" s="99"/>
      <c r="E69" s="99"/>
      <c r="F69" s="99"/>
      <c r="G69" s="99"/>
      <c r="H69" s="99"/>
      <c r="I69" s="99"/>
      <c r="J69" s="99"/>
      <c r="K69" s="99"/>
      <c r="L69" s="99"/>
      <c r="M69" s="99"/>
      <c r="N69" s="99"/>
      <c r="O69" s="99"/>
      <c r="P69" s="99"/>
      <c r="Q69" s="99"/>
      <c r="R69" s="99"/>
      <c r="S69" s="99"/>
      <c r="T69" s="99"/>
      <c r="U69" s="99"/>
    </row>
    <row r="70" spans="1:21" ht="12.75">
      <c r="A70" s="99"/>
      <c r="B70" s="99"/>
      <c r="C70" s="99"/>
      <c r="D70" s="99"/>
      <c r="E70" s="99"/>
      <c r="F70" s="99"/>
      <c r="G70" s="99"/>
      <c r="H70" s="99"/>
      <c r="I70" s="99"/>
      <c r="J70" s="99"/>
      <c r="K70" s="99"/>
      <c r="L70" s="99"/>
      <c r="M70" s="99"/>
      <c r="N70" s="99"/>
      <c r="O70" s="99"/>
      <c r="P70" s="99"/>
      <c r="Q70" s="99"/>
      <c r="R70" s="99"/>
      <c r="S70" s="99"/>
      <c r="T70" s="99"/>
      <c r="U70" s="99"/>
    </row>
    <row r="71" spans="1:21" ht="12.75">
      <c r="A71" s="99"/>
      <c r="B71" s="99"/>
      <c r="C71" s="99"/>
      <c r="D71" s="99"/>
      <c r="E71" s="99"/>
      <c r="F71" s="99"/>
      <c r="G71" s="99"/>
      <c r="H71" s="99"/>
      <c r="I71" s="99"/>
      <c r="J71" s="99"/>
      <c r="K71" s="99"/>
      <c r="L71" s="99"/>
      <c r="M71" s="99"/>
      <c r="N71" s="99"/>
      <c r="O71" s="99"/>
      <c r="P71" s="99"/>
      <c r="Q71" s="99"/>
      <c r="R71" s="99"/>
      <c r="S71" s="99"/>
      <c r="T71" s="99"/>
      <c r="U71" s="99"/>
    </row>
    <row r="72" spans="1:21" ht="12.75">
      <c r="A72" s="99"/>
      <c r="B72" s="99"/>
      <c r="C72" s="99"/>
      <c r="D72" s="99"/>
      <c r="E72" s="99"/>
      <c r="F72" s="99"/>
      <c r="G72" s="99"/>
      <c r="H72" s="99"/>
      <c r="I72" s="99"/>
      <c r="J72" s="99"/>
      <c r="K72" s="99"/>
      <c r="L72" s="99"/>
      <c r="M72" s="99"/>
      <c r="N72" s="99"/>
      <c r="O72" s="99"/>
      <c r="P72" s="99"/>
      <c r="Q72" s="99"/>
      <c r="R72" s="99"/>
      <c r="S72" s="99"/>
      <c r="T72" s="99"/>
      <c r="U72" s="99"/>
    </row>
    <row r="73" spans="1:21" ht="12.75">
      <c r="A73" s="99"/>
      <c r="B73" s="99"/>
      <c r="C73" s="99"/>
      <c r="D73" s="99"/>
      <c r="E73" s="99"/>
      <c r="F73" s="99"/>
      <c r="G73" s="99"/>
      <c r="H73" s="99"/>
      <c r="I73" s="99"/>
      <c r="J73" s="99"/>
      <c r="K73" s="99"/>
      <c r="L73" s="99"/>
      <c r="M73" s="99"/>
      <c r="N73" s="99"/>
      <c r="O73" s="99"/>
      <c r="P73" s="99"/>
      <c r="Q73" s="99"/>
      <c r="R73" s="99"/>
      <c r="S73" s="99"/>
      <c r="T73" s="99"/>
      <c r="U73" s="99"/>
    </row>
    <row r="74" spans="1:21" ht="12.75">
      <c r="A74" s="99"/>
      <c r="B74" s="99"/>
      <c r="C74" s="99"/>
      <c r="D74" s="99"/>
      <c r="E74" s="99"/>
      <c r="F74" s="99"/>
      <c r="G74" s="99"/>
      <c r="H74" s="99"/>
      <c r="I74" s="99"/>
      <c r="J74" s="99"/>
      <c r="K74" s="99"/>
      <c r="L74" s="99"/>
      <c r="M74" s="99"/>
      <c r="N74" s="99"/>
      <c r="O74" s="99"/>
      <c r="P74" s="99"/>
      <c r="Q74" s="99"/>
      <c r="R74" s="99"/>
      <c r="S74" s="99"/>
      <c r="T74" s="99"/>
      <c r="U74" s="99"/>
    </row>
    <row r="75" spans="1:21" ht="12.75">
      <c r="A75" s="99"/>
      <c r="B75" s="99"/>
      <c r="C75" s="99"/>
      <c r="D75" s="99"/>
      <c r="E75" s="99"/>
      <c r="F75" s="99"/>
      <c r="G75" s="99"/>
      <c r="H75" s="99"/>
      <c r="I75" s="99"/>
      <c r="J75" s="99"/>
      <c r="K75" s="99"/>
      <c r="L75" s="99"/>
      <c r="M75" s="99"/>
      <c r="N75" s="99"/>
      <c r="O75" s="99"/>
      <c r="P75" s="99"/>
      <c r="Q75" s="99"/>
      <c r="R75" s="99"/>
      <c r="S75" s="99"/>
      <c r="T75" s="99"/>
      <c r="U75" s="99"/>
    </row>
    <row r="76" spans="1:21" ht="12.75">
      <c r="A76" s="99"/>
      <c r="B76" s="99"/>
      <c r="C76" s="99"/>
      <c r="D76" s="99"/>
      <c r="E76" s="99"/>
      <c r="F76" s="99"/>
      <c r="G76" s="99"/>
      <c r="H76" s="99"/>
      <c r="I76" s="99"/>
      <c r="J76" s="99"/>
      <c r="K76" s="99"/>
      <c r="L76" s="99"/>
      <c r="M76" s="99"/>
      <c r="N76" s="99"/>
      <c r="O76" s="99"/>
      <c r="P76" s="99"/>
      <c r="Q76" s="99"/>
      <c r="R76" s="99"/>
      <c r="S76" s="99"/>
      <c r="T76" s="99"/>
      <c r="U76" s="99"/>
    </row>
    <row r="77" spans="1:21" ht="12.75">
      <c r="A77" s="99"/>
      <c r="B77" s="99"/>
      <c r="C77" s="99"/>
      <c r="D77" s="99"/>
      <c r="E77" s="99"/>
      <c r="F77" s="99"/>
      <c r="G77" s="99"/>
      <c r="H77" s="99"/>
      <c r="I77" s="99"/>
      <c r="J77" s="99"/>
      <c r="K77" s="99"/>
      <c r="L77" s="99"/>
      <c r="M77" s="99"/>
      <c r="N77" s="99"/>
      <c r="O77" s="99"/>
      <c r="P77" s="99"/>
      <c r="Q77" s="99"/>
      <c r="R77" s="99"/>
      <c r="S77" s="99"/>
      <c r="T77" s="99"/>
      <c r="U77" s="99"/>
    </row>
    <row r="78" spans="1:21" ht="12.75">
      <c r="A78" s="99"/>
      <c r="B78" s="99"/>
      <c r="C78" s="99"/>
      <c r="D78" s="99"/>
      <c r="E78" s="99"/>
      <c r="F78" s="99"/>
      <c r="G78" s="99"/>
      <c r="H78" s="99"/>
      <c r="I78" s="99"/>
      <c r="J78" s="99"/>
      <c r="K78" s="99"/>
      <c r="L78" s="99"/>
      <c r="M78" s="99"/>
      <c r="N78" s="99"/>
      <c r="O78" s="99"/>
      <c r="P78" s="99"/>
      <c r="Q78" s="99"/>
      <c r="R78" s="99"/>
      <c r="S78" s="99"/>
      <c r="T78" s="99"/>
      <c r="U78" s="99"/>
    </row>
    <row r="79" spans="1:21" ht="12.75">
      <c r="A79" s="99"/>
      <c r="B79" s="99"/>
      <c r="C79" s="99"/>
      <c r="D79" s="99"/>
      <c r="E79" s="99"/>
      <c r="F79" s="99"/>
      <c r="G79" s="99"/>
      <c r="H79" s="99"/>
      <c r="I79" s="99"/>
      <c r="J79" s="99"/>
      <c r="K79" s="99"/>
      <c r="L79" s="99"/>
      <c r="M79" s="99"/>
      <c r="N79" s="99"/>
      <c r="O79" s="99"/>
      <c r="P79" s="99"/>
      <c r="Q79" s="99"/>
      <c r="R79" s="99"/>
      <c r="S79" s="99"/>
      <c r="T79" s="99"/>
      <c r="U79" s="99"/>
    </row>
    <row r="80" spans="1:21" ht="12.75">
      <c r="A80" s="99"/>
      <c r="B80" s="99"/>
      <c r="C80" s="99"/>
      <c r="D80" s="99"/>
      <c r="E80" s="99"/>
      <c r="F80" s="99"/>
      <c r="G80" s="99"/>
      <c r="H80" s="99"/>
      <c r="I80" s="99"/>
      <c r="J80" s="99"/>
      <c r="K80" s="99"/>
      <c r="L80" s="99"/>
      <c r="M80" s="99"/>
      <c r="N80" s="99"/>
      <c r="O80" s="99"/>
      <c r="P80" s="99"/>
      <c r="Q80" s="99"/>
      <c r="R80" s="99"/>
      <c r="S80" s="99"/>
      <c r="T80" s="99"/>
      <c r="U80" s="99"/>
    </row>
    <row r="81" spans="1:21" ht="12.75">
      <c r="A81" s="99"/>
      <c r="B81" s="99"/>
      <c r="C81" s="99"/>
      <c r="D81" s="99"/>
      <c r="E81" s="99"/>
      <c r="F81" s="99"/>
      <c r="G81" s="99"/>
      <c r="H81" s="99"/>
      <c r="I81" s="99"/>
      <c r="J81" s="99"/>
      <c r="K81" s="99"/>
      <c r="L81" s="99"/>
      <c r="M81" s="99"/>
      <c r="N81" s="99"/>
      <c r="O81" s="99"/>
      <c r="P81" s="99"/>
      <c r="Q81" s="99"/>
      <c r="R81" s="99"/>
      <c r="S81" s="99"/>
      <c r="T81" s="99"/>
      <c r="U81" s="99"/>
    </row>
    <row r="82" spans="1:21" ht="12.75">
      <c r="A82" s="99"/>
      <c r="B82" s="99"/>
      <c r="C82" s="99"/>
      <c r="D82" s="99"/>
      <c r="E82" s="99"/>
      <c r="F82" s="99"/>
      <c r="G82" s="99"/>
      <c r="H82" s="99"/>
      <c r="I82" s="99"/>
      <c r="J82" s="99"/>
      <c r="K82" s="99"/>
      <c r="L82" s="99"/>
      <c r="M82" s="99"/>
      <c r="N82" s="99"/>
      <c r="O82" s="99"/>
      <c r="P82" s="99"/>
      <c r="Q82" s="99"/>
      <c r="R82" s="99"/>
      <c r="S82" s="99"/>
      <c r="T82" s="99"/>
      <c r="U82" s="99"/>
    </row>
    <row r="83" spans="1:21" ht="12.75">
      <c r="A83" s="99"/>
      <c r="B83" s="99"/>
      <c r="C83" s="99"/>
      <c r="D83" s="99"/>
      <c r="E83" s="99"/>
      <c r="F83" s="99"/>
      <c r="G83" s="99"/>
      <c r="H83" s="99"/>
      <c r="I83" s="99"/>
      <c r="J83" s="99"/>
      <c r="K83" s="99"/>
      <c r="L83" s="99"/>
      <c r="M83" s="99"/>
      <c r="N83" s="99"/>
      <c r="O83" s="99"/>
      <c r="P83" s="99"/>
      <c r="Q83" s="99"/>
      <c r="R83" s="99"/>
      <c r="S83" s="99"/>
      <c r="T83" s="99"/>
      <c r="U83" s="99"/>
    </row>
    <row r="84" spans="1:21" ht="12.75">
      <c r="A84" s="99"/>
      <c r="B84" s="99"/>
      <c r="C84" s="99"/>
      <c r="D84" s="99"/>
      <c r="E84" s="99"/>
      <c r="F84" s="99"/>
      <c r="G84" s="99"/>
      <c r="H84" s="99"/>
      <c r="I84" s="99"/>
      <c r="J84" s="99"/>
      <c r="K84" s="99"/>
      <c r="L84" s="99"/>
      <c r="M84" s="99"/>
      <c r="N84" s="99"/>
      <c r="O84" s="99"/>
      <c r="P84" s="99"/>
      <c r="Q84" s="99"/>
      <c r="R84" s="99"/>
      <c r="S84" s="99"/>
      <c r="T84" s="99"/>
      <c r="U84" s="99"/>
    </row>
    <row r="85" spans="1:16" ht="12.75">
      <c r="A85" s="99"/>
      <c r="B85" s="99"/>
      <c r="C85" s="99"/>
      <c r="D85" s="99"/>
      <c r="E85" s="99"/>
      <c r="F85" s="99"/>
      <c r="G85" s="99"/>
      <c r="H85" s="99"/>
      <c r="I85" s="99"/>
      <c r="J85" s="99"/>
      <c r="K85" s="99"/>
      <c r="L85" s="99"/>
      <c r="M85" s="99"/>
      <c r="N85" s="99"/>
      <c r="O85" s="99"/>
      <c r="P85" s="99"/>
    </row>
  </sheetData>
  <mergeCells count="4">
    <mergeCell ref="C7:D7"/>
    <mergeCell ref="F7:G7"/>
    <mergeCell ref="C5:F5"/>
    <mergeCell ref="C6:F6"/>
  </mergeCells>
  <printOptions/>
  <pageMargins left="0.47" right="0.75" top="1" bottom="1" header="0" footer="0"/>
  <pageSetup horizontalDpi="300" verticalDpi="3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EG60"/>
  <sheetViews>
    <sheetView workbookViewId="0" topLeftCell="A1">
      <selection activeCell="C25" sqref="C25"/>
    </sheetView>
  </sheetViews>
  <sheetFormatPr defaultColWidth="11.421875" defaultRowHeight="12.75"/>
  <cols>
    <col min="1" max="1" width="12.28125" style="0" customWidth="1"/>
    <col min="2" max="2" width="12.140625" style="0" customWidth="1"/>
    <col min="3" max="3" width="12.421875" style="0" bestFit="1" customWidth="1"/>
    <col min="4" max="4" width="11.140625" style="0" customWidth="1"/>
    <col min="5" max="5" width="11.00390625" style="0" customWidth="1"/>
    <col min="6" max="6" width="13.140625" style="0" customWidth="1"/>
    <col min="7" max="7" width="13.00390625" style="0" bestFit="1" customWidth="1"/>
    <col min="8" max="8" width="8.00390625" style="0" customWidth="1"/>
    <col min="9" max="9" width="14.421875" style="0" customWidth="1"/>
    <col min="10" max="10" width="14.57421875" style="6" customWidth="1"/>
    <col min="11" max="11" width="20.8515625" style="11" bestFit="1" customWidth="1"/>
    <col min="12" max="14" width="20.8515625" style="6" bestFit="1" customWidth="1"/>
    <col min="15" max="15" width="14.28125" style="6" bestFit="1" customWidth="1"/>
    <col min="16" max="16" width="11.421875" style="6" customWidth="1"/>
  </cols>
  <sheetData>
    <row r="1" spans="1:12" ht="13.5">
      <c r="A1" s="244" t="s">
        <v>66</v>
      </c>
      <c r="B1" s="245"/>
      <c r="C1" s="245"/>
      <c r="D1" s="245"/>
      <c r="E1" s="245"/>
      <c r="F1" s="245"/>
      <c r="G1" s="245"/>
      <c r="H1" s="103"/>
      <c r="I1" s="99"/>
      <c r="J1" s="137"/>
      <c r="K1" s="138"/>
      <c r="L1" s="137"/>
    </row>
    <row r="2" spans="1:15" ht="15">
      <c r="A2" s="118" t="s">
        <v>52</v>
      </c>
      <c r="B2" s="118"/>
      <c r="C2" s="117"/>
      <c r="D2" s="117"/>
      <c r="E2" s="117"/>
      <c r="F2" s="117"/>
      <c r="G2" s="119"/>
      <c r="H2" s="119"/>
      <c r="I2" s="99"/>
      <c r="J2" s="137"/>
      <c r="K2" s="138"/>
      <c r="L2" s="137"/>
      <c r="M2" s="10"/>
      <c r="N2" s="10"/>
      <c r="O2" s="10"/>
    </row>
    <row r="3" spans="1:15" ht="15">
      <c r="A3" s="123" t="s">
        <v>126</v>
      </c>
      <c r="B3" s="123"/>
      <c r="C3" s="117"/>
      <c r="D3" s="117"/>
      <c r="E3" s="117"/>
      <c r="F3" s="117"/>
      <c r="G3" s="119"/>
      <c r="H3" s="119"/>
      <c r="I3" s="137"/>
      <c r="J3" s="137"/>
      <c r="K3" s="138"/>
      <c r="L3" s="137"/>
      <c r="M3" s="10"/>
      <c r="N3" s="10"/>
      <c r="O3" s="10"/>
    </row>
    <row r="4" spans="1:15" ht="12.75">
      <c r="A4" s="103"/>
      <c r="B4" s="103"/>
      <c r="C4" s="246"/>
      <c r="D4" s="246"/>
      <c r="E4" s="246"/>
      <c r="F4" s="246"/>
      <c r="G4" s="246"/>
      <c r="H4" s="246"/>
      <c r="I4" s="139"/>
      <c r="J4" s="137"/>
      <c r="K4" s="138"/>
      <c r="L4" s="137"/>
      <c r="M4" s="10"/>
      <c r="N4" s="10"/>
      <c r="O4" s="10"/>
    </row>
    <row r="5" spans="1:15" ht="14.25">
      <c r="A5" s="103"/>
      <c r="B5" s="118" t="s">
        <v>54</v>
      </c>
      <c r="C5" s="103"/>
      <c r="D5" s="134"/>
      <c r="E5" s="134"/>
      <c r="F5" s="134"/>
      <c r="G5" s="134"/>
      <c r="H5" s="134"/>
      <c r="I5" s="139"/>
      <c r="J5" s="137"/>
      <c r="K5" s="140"/>
      <c r="L5" s="140"/>
      <c r="M5" s="13"/>
      <c r="N5" s="13"/>
      <c r="O5" s="13"/>
    </row>
    <row r="6" spans="1:15" ht="12.75">
      <c r="A6" s="103"/>
      <c r="B6" s="165" t="s">
        <v>123</v>
      </c>
      <c r="C6" s="165" t="s">
        <v>122</v>
      </c>
      <c r="D6" s="166" t="s">
        <v>5</v>
      </c>
      <c r="E6" s="127"/>
      <c r="F6" s="127"/>
      <c r="G6" s="127"/>
      <c r="H6" s="127"/>
      <c r="I6" s="137"/>
      <c r="J6" s="137"/>
      <c r="K6" s="138"/>
      <c r="L6" s="138"/>
      <c r="M6" s="14"/>
      <c r="N6" s="14"/>
      <c r="O6" s="14"/>
    </row>
    <row r="7" spans="1:15" ht="12.75">
      <c r="A7" s="103"/>
      <c r="B7" s="210">
        <f>Informe!F18</f>
        <v>0</v>
      </c>
      <c r="C7" s="200">
        <f>(B7*Informe!$E$40/1000)</f>
        <v>0</v>
      </c>
      <c r="D7" s="164">
        <f>Lecturas!B20</f>
        <v>-0.0007600000244565308</v>
      </c>
      <c r="E7" s="127"/>
      <c r="F7" s="127"/>
      <c r="G7" s="127"/>
      <c r="H7" s="127"/>
      <c r="I7" s="137"/>
      <c r="J7" s="137"/>
      <c r="K7" s="138"/>
      <c r="L7" s="138"/>
      <c r="M7" s="14"/>
      <c r="N7" s="14"/>
      <c r="O7" s="14"/>
    </row>
    <row r="8" spans="1:15" ht="12.75">
      <c r="A8" s="103"/>
      <c r="B8" s="211">
        <f>Informe!F17</f>
        <v>68.595625</v>
      </c>
      <c r="C8" s="200">
        <f>(B8*Informe!$E$40/1000)</f>
        <v>0.6721942527343749</v>
      </c>
      <c r="D8" s="8">
        <f>Lecturas!B21</f>
        <v>1.9928100109100342</v>
      </c>
      <c r="E8" s="127"/>
      <c r="F8" s="127"/>
      <c r="G8" s="127"/>
      <c r="H8" s="127"/>
      <c r="I8" s="137"/>
      <c r="J8" s="137"/>
      <c r="K8" s="138"/>
      <c r="L8" s="138"/>
      <c r="M8" s="14"/>
      <c r="N8" s="14"/>
      <c r="O8" s="14"/>
    </row>
    <row r="9" spans="1:15" ht="12.75">
      <c r="A9" s="103"/>
      <c r="B9" s="211">
        <f>Informe!F18</f>
        <v>0</v>
      </c>
      <c r="C9" s="200">
        <f>(B9*Informe!$E$40/1000)</f>
        <v>0</v>
      </c>
      <c r="D9" s="8">
        <f>Lecturas!B22</f>
        <v>-0.001550000044517219</v>
      </c>
      <c r="E9" s="127"/>
      <c r="F9" s="127"/>
      <c r="G9" s="127"/>
      <c r="H9" s="127"/>
      <c r="I9" s="137"/>
      <c r="J9" s="137"/>
      <c r="K9" s="138"/>
      <c r="L9" s="137"/>
      <c r="M9" s="10"/>
      <c r="N9" s="10"/>
      <c r="O9" s="10"/>
    </row>
    <row r="10" spans="1:15" ht="12.75">
      <c r="A10" s="103"/>
      <c r="B10" s="211">
        <f>Informe!$F$17</f>
        <v>68.595625</v>
      </c>
      <c r="C10" s="200">
        <f>(B10*Informe!$E$40/1000)</f>
        <v>0.6721942527343749</v>
      </c>
      <c r="D10" s="8">
        <f>Lecturas!C21</f>
        <v>1.9931600093841553</v>
      </c>
      <c r="E10" s="127"/>
      <c r="F10" s="127"/>
      <c r="G10" s="127"/>
      <c r="H10" s="127"/>
      <c r="I10" s="137"/>
      <c r="J10" s="137"/>
      <c r="K10" s="138"/>
      <c r="L10" s="137"/>
      <c r="M10" s="10"/>
      <c r="N10" s="10"/>
      <c r="O10" s="10"/>
    </row>
    <row r="11" spans="1:15" ht="12.75">
      <c r="A11" s="103"/>
      <c r="B11" s="211">
        <f>Informe!F18</f>
        <v>0</v>
      </c>
      <c r="C11" s="200">
        <f>(B11*Informe!$E$40/1000)</f>
        <v>0</v>
      </c>
      <c r="D11" s="26">
        <f>Lecturas!D20</f>
        <v>-0.0012700000079348683</v>
      </c>
      <c r="E11" s="127"/>
      <c r="F11" s="124"/>
      <c r="G11" s="127"/>
      <c r="H11" s="127"/>
      <c r="I11" s="137"/>
      <c r="J11" s="137"/>
      <c r="K11" s="138"/>
      <c r="L11" s="137"/>
      <c r="M11" s="10"/>
      <c r="N11" s="10"/>
      <c r="O11" s="10"/>
    </row>
    <row r="12" spans="1:15" ht="12.75">
      <c r="A12" s="103"/>
      <c r="B12" s="211">
        <f>Informe!$F$17</f>
        <v>68.595625</v>
      </c>
      <c r="C12" s="200">
        <f>(B12*Informe!$E$40/1000)</f>
        <v>0.6721942527343749</v>
      </c>
      <c r="D12" s="8">
        <f>Lecturas!D21</f>
        <v>1.9937399625778198</v>
      </c>
      <c r="E12" s="127"/>
      <c r="F12" s="127"/>
      <c r="G12" s="127"/>
      <c r="H12" s="127"/>
      <c r="I12" s="137"/>
      <c r="J12" s="137"/>
      <c r="K12" s="138"/>
      <c r="L12" s="137"/>
      <c r="M12" s="10"/>
      <c r="N12" s="10"/>
      <c r="O12" s="10"/>
    </row>
    <row r="13" spans="1:15" ht="13.5" thickBot="1">
      <c r="A13" s="103"/>
      <c r="B13" s="212">
        <f>Informe!F18</f>
        <v>0</v>
      </c>
      <c r="C13" s="200">
        <f>(B13*Informe!$E$40/1000)</f>
        <v>0</v>
      </c>
      <c r="D13" s="7">
        <f>Lecturas!D22</f>
        <v>-0.0016799999866634607</v>
      </c>
      <c r="E13" s="127"/>
      <c r="F13" s="127"/>
      <c r="G13" s="127"/>
      <c r="H13" s="127"/>
      <c r="I13" s="137"/>
      <c r="J13" s="137"/>
      <c r="K13" s="138"/>
      <c r="L13" s="137"/>
      <c r="M13" s="10"/>
      <c r="N13" s="10"/>
      <c r="O13" s="10"/>
    </row>
    <row r="14" spans="1:15" ht="12.75">
      <c r="A14" s="103"/>
      <c r="B14" s="221"/>
      <c r="C14" s="222"/>
      <c r="D14" s="127"/>
      <c r="E14" s="127"/>
      <c r="F14" s="127"/>
      <c r="G14" s="127"/>
      <c r="H14" s="127"/>
      <c r="I14" s="137"/>
      <c r="J14" s="137"/>
      <c r="K14" s="138"/>
      <c r="L14" s="137"/>
      <c r="M14" s="10"/>
      <c r="N14" s="10"/>
      <c r="O14" s="10"/>
    </row>
    <row r="15" spans="1:15" ht="13.5" thickBot="1">
      <c r="A15" s="103"/>
      <c r="B15" s="243" t="s">
        <v>124</v>
      </c>
      <c r="C15" s="243"/>
      <c r="D15" s="127"/>
      <c r="E15" s="127"/>
      <c r="F15" s="127"/>
      <c r="G15" s="127"/>
      <c r="H15" s="127"/>
      <c r="I15" s="137"/>
      <c r="J15" s="137"/>
      <c r="K15" s="138"/>
      <c r="L15" s="137"/>
      <c r="M15" s="10"/>
      <c r="N15" s="10"/>
      <c r="O15" s="10"/>
    </row>
    <row r="16" spans="1:15" ht="13.5" thickBot="1">
      <c r="A16" s="103"/>
      <c r="B16" s="243" t="s">
        <v>125</v>
      </c>
      <c r="C16" s="243"/>
      <c r="D16" s="220" t="s">
        <v>2</v>
      </c>
      <c r="E16" s="24" t="s">
        <v>3</v>
      </c>
      <c r="F16" s="25" t="s">
        <v>4</v>
      </c>
      <c r="G16" s="134"/>
      <c r="H16" s="127"/>
      <c r="I16" s="137"/>
      <c r="J16" s="137"/>
      <c r="K16" s="138"/>
      <c r="L16" s="137"/>
      <c r="M16" s="10"/>
      <c r="N16" s="10"/>
      <c r="O16" s="10"/>
    </row>
    <row r="17" spans="1:15" ht="26.25" thickBot="1">
      <c r="A17" s="103"/>
      <c r="B17" s="165" t="s">
        <v>123</v>
      </c>
      <c r="C17" s="165" t="s">
        <v>122</v>
      </c>
      <c r="D17" s="23" t="s">
        <v>5</v>
      </c>
      <c r="E17" s="72" t="s">
        <v>5</v>
      </c>
      <c r="F17" s="72" t="s">
        <v>5</v>
      </c>
      <c r="G17" s="202" t="s">
        <v>7</v>
      </c>
      <c r="H17" s="127"/>
      <c r="I17" s="137"/>
      <c r="J17" s="137"/>
      <c r="K17" s="138"/>
      <c r="L17" s="137"/>
      <c r="M17" s="10"/>
      <c r="N17" s="10"/>
      <c r="O17" s="10"/>
    </row>
    <row r="18" spans="1:15" ht="13.5" thickBot="1">
      <c r="A18" s="103"/>
      <c r="B18" s="219">
        <f>C18*Informe!$E$40/1000</f>
        <v>0</v>
      </c>
      <c r="C18" s="213">
        <f>Informe!D18</f>
        <v>0</v>
      </c>
      <c r="D18" s="206">
        <f>Lecturas!C5</f>
        <v>0.00016000005416572094</v>
      </c>
      <c r="E18" s="206">
        <f>Lecturas!E5</f>
        <v>0.0001599999377503991</v>
      </c>
      <c r="F18" s="206">
        <f>Lecturas!G5</f>
        <v>0.00021000008564442396</v>
      </c>
      <c r="G18" s="203">
        <f>(D18+E18+F18)/3</f>
        <v>0.00017666669252018133</v>
      </c>
      <c r="H18" s="127"/>
      <c r="I18" s="137"/>
      <c r="J18" s="137"/>
      <c r="K18" s="138"/>
      <c r="L18" s="137"/>
      <c r="M18" s="10"/>
      <c r="N18" s="10"/>
      <c r="O18" s="10"/>
    </row>
    <row r="19" spans="1:15" ht="13.5" thickBot="1">
      <c r="A19" s="103"/>
      <c r="B19" s="219">
        <f>C19*Informe!$E$40/1000</f>
        <v>6.8595625</v>
      </c>
      <c r="C19" s="214">
        <f>C18+(Informe!$D$17-Informe!$D$18)/10</f>
        <v>700</v>
      </c>
      <c r="D19" s="206">
        <f>Lecturas!C6</f>
        <v>0.19760876893997192</v>
      </c>
      <c r="E19" s="206">
        <f>Lecturas!E6</f>
        <v>0.19752000272274017</v>
      </c>
      <c r="F19" s="206">
        <f>Lecturas!G6</f>
        <v>0.19753998517990112</v>
      </c>
      <c r="G19" s="203">
        <f aca="true" t="shared" si="0" ref="G19:G38">(D19+E19+F19)/3</f>
        <v>0.19755625228087106</v>
      </c>
      <c r="H19" s="127"/>
      <c r="I19" s="137"/>
      <c r="J19" s="137"/>
      <c r="K19" s="138"/>
      <c r="L19" s="137"/>
      <c r="M19" s="10"/>
      <c r="N19" s="10"/>
      <c r="O19" s="10"/>
    </row>
    <row r="20" spans="1:15" ht="13.5" thickBot="1">
      <c r="A20" s="103"/>
      <c r="B20" s="219">
        <f>C20*Informe!$E$40/1000</f>
        <v>13.719125</v>
      </c>
      <c r="C20" s="215">
        <f>C19+(Informe!$D$17-Informe!$D$18)/10</f>
        <v>1400</v>
      </c>
      <c r="D20" s="206">
        <f>Lecturas!C7</f>
        <v>0.39283856749534607</v>
      </c>
      <c r="E20" s="206">
        <f>Lecturas!E7</f>
        <v>0.3927685618400574</v>
      </c>
      <c r="F20" s="206">
        <f>Lecturas!G7</f>
        <v>0.39281854033470154</v>
      </c>
      <c r="G20" s="203">
        <f t="shared" si="0"/>
        <v>0.39280855655670166</v>
      </c>
      <c r="H20" s="127"/>
      <c r="I20" s="137"/>
      <c r="J20" s="137"/>
      <c r="K20" s="138"/>
      <c r="L20" s="137"/>
      <c r="M20" s="10"/>
      <c r="N20" s="10"/>
      <c r="O20" s="10"/>
    </row>
    <row r="21" spans="1:15" ht="13.5" thickBot="1">
      <c r="A21" s="103"/>
      <c r="B21" s="219">
        <f>C21*Informe!$E$40/1000</f>
        <v>20.5786875</v>
      </c>
      <c r="C21" s="215">
        <f>C20+(Informe!$D$17-Informe!$D$18)/10</f>
        <v>2100</v>
      </c>
      <c r="D21" s="206">
        <f>Lecturas!C8</f>
        <v>0.5905100107192993</v>
      </c>
      <c r="E21" s="206">
        <f>Lecturas!E8</f>
        <v>0.5903500318527222</v>
      </c>
      <c r="F21" s="206">
        <f>Lecturas!G8</f>
        <v>0.5903300046920776</v>
      </c>
      <c r="G21" s="203">
        <f t="shared" si="0"/>
        <v>0.5903966824213663</v>
      </c>
      <c r="H21" s="127"/>
      <c r="I21" s="137"/>
      <c r="J21" s="137"/>
      <c r="K21" s="138"/>
      <c r="L21" s="137"/>
      <c r="M21" s="10"/>
      <c r="N21" s="10"/>
      <c r="O21" s="10"/>
    </row>
    <row r="22" spans="1:15" ht="13.5" thickBot="1">
      <c r="A22" s="103"/>
      <c r="B22" s="219">
        <f>C22*Informe!$E$40/1000</f>
        <v>27.43825</v>
      </c>
      <c r="C22" s="215">
        <f>C21+(Informe!$D$17-Informe!$D$18)/10</f>
        <v>2800</v>
      </c>
      <c r="D22" s="206">
        <f>Lecturas!C9</f>
        <v>0.7909600138664246</v>
      </c>
      <c r="E22" s="206">
        <f>Lecturas!E9</f>
        <v>0.7908499836921692</v>
      </c>
      <c r="F22" s="206">
        <f>Lecturas!G9</f>
        <v>0.7908986806869507</v>
      </c>
      <c r="G22" s="203">
        <f t="shared" si="0"/>
        <v>0.7909028927485148</v>
      </c>
      <c r="H22" s="127"/>
      <c r="I22" s="137"/>
      <c r="J22" s="137"/>
      <c r="K22" s="138"/>
      <c r="L22" s="137"/>
      <c r="M22" s="10"/>
      <c r="N22" s="10"/>
      <c r="O22" s="10"/>
    </row>
    <row r="23" spans="1:15" ht="13.5" thickBot="1">
      <c r="A23" s="103"/>
      <c r="B23" s="219">
        <f>C23*Informe!$E$40/1000</f>
        <v>34.2978125</v>
      </c>
      <c r="C23" s="215">
        <f>C22+(Informe!$D$17-Informe!$D$18)/10</f>
        <v>3500</v>
      </c>
      <c r="D23" s="206">
        <f>Lecturas!C10</f>
        <v>0.9917500019073486</v>
      </c>
      <c r="E23" s="206">
        <f>Lecturas!E10</f>
        <v>0.9916900396347046</v>
      </c>
      <c r="F23" s="206">
        <f>Lecturas!G10</f>
        <v>0.9916900396347046</v>
      </c>
      <c r="G23" s="203">
        <f t="shared" si="0"/>
        <v>0.9917100270589193</v>
      </c>
      <c r="H23" s="127"/>
      <c r="I23" s="137"/>
      <c r="J23" s="137"/>
      <c r="K23" s="138"/>
      <c r="L23" s="137"/>
      <c r="M23" s="10"/>
      <c r="N23" s="10"/>
      <c r="O23" s="10"/>
    </row>
    <row r="24" spans="1:15" ht="13.5" thickBot="1">
      <c r="A24" s="103"/>
      <c r="B24" s="219">
        <f>C24*Informe!$E$40/1000</f>
        <v>41.157375</v>
      </c>
      <c r="C24" s="215">
        <f>C23+(Informe!$D$17-Informe!$D$18)/10</f>
        <v>4200</v>
      </c>
      <c r="D24" s="206">
        <f>Lecturas!C11</f>
        <v>1.192699909210205</v>
      </c>
      <c r="E24" s="206">
        <f>Lecturas!E11</f>
        <v>1.1926300525665283</v>
      </c>
      <c r="F24" s="206">
        <f>Lecturas!G11</f>
        <v>1.1923999786376953</v>
      </c>
      <c r="G24" s="203">
        <f t="shared" si="0"/>
        <v>1.1925766468048096</v>
      </c>
      <c r="H24" s="127"/>
      <c r="I24" s="137"/>
      <c r="J24" s="137"/>
      <c r="K24" s="138"/>
      <c r="L24" s="137"/>
      <c r="M24" s="10"/>
      <c r="N24" s="10"/>
      <c r="O24" s="10"/>
    </row>
    <row r="25" spans="1:15" ht="13.5" thickBot="1">
      <c r="A25" s="103"/>
      <c r="B25" s="219">
        <f>C25*Informe!$E$40/1000</f>
        <v>48.0169375</v>
      </c>
      <c r="C25" s="215">
        <f>C24+(Informe!$D$17-Informe!$D$18)/10</f>
        <v>4900</v>
      </c>
      <c r="D25" s="206">
        <f>Lecturas!C12</f>
        <v>1.3935999870300293</v>
      </c>
      <c r="E25" s="206">
        <f>Lecturas!E12</f>
        <v>1.3934999704360962</v>
      </c>
      <c r="F25" s="206">
        <f>Lecturas!G12</f>
        <v>1.3934400081634521</v>
      </c>
      <c r="G25" s="203">
        <f t="shared" si="0"/>
        <v>1.3935133218765259</v>
      </c>
      <c r="H25" s="127"/>
      <c r="I25" s="137"/>
      <c r="J25" s="137"/>
      <c r="K25" s="138"/>
      <c r="L25" s="137"/>
      <c r="M25" s="10"/>
      <c r="N25" s="10"/>
      <c r="O25" s="10"/>
    </row>
    <row r="26" spans="1:15" ht="13.5" thickBot="1">
      <c r="A26" s="103"/>
      <c r="B26" s="219">
        <f>C26*Informe!$E$40/1000</f>
        <v>54.8765</v>
      </c>
      <c r="C26" s="215">
        <f>C25+(Informe!$D$17-Informe!$D$18)/10</f>
        <v>5600</v>
      </c>
      <c r="D26" s="206">
        <f>Lecturas!C13</f>
        <v>1.5945398807525635</v>
      </c>
      <c r="E26" s="206">
        <f>Lecturas!E13</f>
        <v>1.5944688320159912</v>
      </c>
      <c r="F26" s="206">
        <f>Lecturas!G13</f>
        <v>1.594288945198059</v>
      </c>
      <c r="G26" s="203">
        <f t="shared" si="0"/>
        <v>1.5944325526555378</v>
      </c>
      <c r="H26" s="127"/>
      <c r="I26" s="137"/>
      <c r="J26" s="137"/>
      <c r="K26" s="138"/>
      <c r="L26" s="137"/>
      <c r="M26" s="10"/>
      <c r="N26" s="10"/>
      <c r="O26" s="10"/>
    </row>
    <row r="27" spans="1:15" ht="13.5" thickBot="1">
      <c r="A27" s="103"/>
      <c r="B27" s="219">
        <f>C27*Informe!$E$40/1000</f>
        <v>61.7360625</v>
      </c>
      <c r="C27" s="215">
        <f>C26+(Informe!$D$17-Informe!$D$18)/10</f>
        <v>6300</v>
      </c>
      <c r="D27" s="206">
        <f>Lecturas!C14</f>
        <v>1.7954899072647095</v>
      </c>
      <c r="E27" s="206">
        <f>Lecturas!E14</f>
        <v>1.7951998710632324</v>
      </c>
      <c r="F27" s="206">
        <f>Lecturas!G14</f>
        <v>1.7953097820281982</v>
      </c>
      <c r="G27" s="203">
        <f t="shared" si="0"/>
        <v>1.7953331867853801</v>
      </c>
      <c r="H27" s="127"/>
      <c r="I27" s="137"/>
      <c r="J27" s="137"/>
      <c r="K27" s="138"/>
      <c r="L27" s="137"/>
      <c r="M27" s="10"/>
      <c r="N27" s="10"/>
      <c r="O27" s="10"/>
    </row>
    <row r="28" spans="1:16" s="15" customFormat="1" ht="13.5" thickBot="1">
      <c r="A28" s="103"/>
      <c r="B28" s="219">
        <f>C28*Informe!$E$40/1000</f>
        <v>68.595625</v>
      </c>
      <c r="C28" s="216">
        <f>C27+(Informe!$D$17-Informe!$D$18)/10</f>
        <v>7000</v>
      </c>
      <c r="D28" s="207">
        <f>Lecturas!C15</f>
        <v>1.9963988065719604</v>
      </c>
      <c r="E28" s="207">
        <f>Lecturas!E15</f>
        <v>1.996298909187317</v>
      </c>
      <c r="F28" s="207">
        <f>Lecturas!G15</f>
        <v>1.9962400197982788</v>
      </c>
      <c r="G28" s="204">
        <f t="shared" si="0"/>
        <v>1.9963125785191853</v>
      </c>
      <c r="H28" s="127"/>
      <c r="I28" s="137"/>
      <c r="J28" s="137"/>
      <c r="K28" s="138"/>
      <c r="L28" s="137"/>
      <c r="M28" s="10"/>
      <c r="N28" s="10"/>
      <c r="O28" s="10"/>
      <c r="P28" s="10"/>
    </row>
    <row r="29" spans="1:15" ht="13.5" thickBot="1">
      <c r="A29" s="103"/>
      <c r="B29" s="219">
        <f>C29*Informe!$E$40/1000</f>
        <v>61.7360625</v>
      </c>
      <c r="C29" s="215">
        <f>C27</f>
        <v>6300</v>
      </c>
      <c r="D29" s="208">
        <f>Lecturas!D14</f>
        <v>1.7953599691390991</v>
      </c>
      <c r="E29" s="208">
        <f>Lecturas!F14</f>
        <v>1.79531991481781</v>
      </c>
      <c r="F29" s="208">
        <f>Lecturas!H14</f>
        <v>1.795219898223877</v>
      </c>
      <c r="G29" s="203">
        <f t="shared" si="0"/>
        <v>1.7952999273935955</v>
      </c>
      <c r="H29" s="127"/>
      <c r="I29" s="137"/>
      <c r="J29" s="137"/>
      <c r="K29" s="138"/>
      <c r="L29" s="137"/>
      <c r="M29" s="10"/>
      <c r="N29" s="10"/>
      <c r="O29" s="10"/>
    </row>
    <row r="30" spans="1:15" ht="13.5" thickBot="1">
      <c r="A30" s="103"/>
      <c r="B30" s="219">
        <f>C30*Informe!$E$40/1000</f>
        <v>54.8765</v>
      </c>
      <c r="C30" s="215">
        <f>C26</f>
        <v>5600</v>
      </c>
      <c r="D30" s="208">
        <f>Lecturas!D13</f>
        <v>1.5943398475646973</v>
      </c>
      <c r="E30" s="208">
        <f>Lecturas!F13</f>
        <v>1.5943598747253418</v>
      </c>
      <c r="F30" s="208">
        <f>Lecturas!H13</f>
        <v>1.594269871711731</v>
      </c>
      <c r="G30" s="203">
        <f t="shared" si="0"/>
        <v>1.59432319800059</v>
      </c>
      <c r="H30" s="127"/>
      <c r="I30" s="137"/>
      <c r="J30" s="137"/>
      <c r="K30" s="138"/>
      <c r="L30" s="137"/>
      <c r="M30" s="10"/>
      <c r="N30" s="10"/>
      <c r="O30" s="10"/>
    </row>
    <row r="31" spans="1:15" ht="13.5" thickBot="1">
      <c r="A31" s="103"/>
      <c r="B31" s="219">
        <f>C31*Informe!$E$40/1000</f>
        <v>48.0169375</v>
      </c>
      <c r="C31" s="217">
        <f>C25</f>
        <v>4900</v>
      </c>
      <c r="D31" s="208">
        <f>Lecturas!D12</f>
        <v>1.3934400081634521</v>
      </c>
      <c r="E31" s="208">
        <f>Lecturas!F12</f>
        <v>1.3932700157165527</v>
      </c>
      <c r="F31" s="208">
        <f>Lecturas!H12</f>
        <v>1.393339991569519</v>
      </c>
      <c r="G31" s="203">
        <f t="shared" si="0"/>
        <v>1.3933500051498413</v>
      </c>
      <c r="H31" s="127"/>
      <c r="I31" s="99"/>
      <c r="J31" s="137"/>
      <c r="K31" s="138"/>
      <c r="L31" s="137"/>
      <c r="M31" s="10"/>
      <c r="N31" s="10"/>
      <c r="O31" s="10"/>
    </row>
    <row r="32" spans="1:15" ht="13.5" thickBot="1">
      <c r="A32" s="103"/>
      <c r="B32" s="219">
        <f>C32*Informe!$E$40/1000</f>
        <v>41.157375</v>
      </c>
      <c r="C32" s="217">
        <f>C24</f>
        <v>4200</v>
      </c>
      <c r="D32" s="208">
        <f>Lecturas!D11</f>
        <v>1.192639946937561</v>
      </c>
      <c r="E32" s="208">
        <f>Lecturas!F11</f>
        <v>1.1924999952316284</v>
      </c>
      <c r="F32" s="208">
        <f>Lecturas!H11</f>
        <v>1.192449927330017</v>
      </c>
      <c r="G32" s="203">
        <f t="shared" si="0"/>
        <v>1.1925299564997356</v>
      </c>
      <c r="H32" s="127"/>
      <c r="I32" s="99"/>
      <c r="J32" s="137"/>
      <c r="K32" s="138"/>
      <c r="L32" s="137"/>
      <c r="M32" s="10"/>
      <c r="N32" s="10"/>
      <c r="O32" s="10"/>
    </row>
    <row r="33" spans="1:15" ht="13.5" thickBot="1">
      <c r="A33" s="103"/>
      <c r="B33" s="219">
        <f>C33*Informe!$E$40/1000</f>
        <v>34.2978125</v>
      </c>
      <c r="C33" s="217">
        <f>C23</f>
        <v>3500</v>
      </c>
      <c r="D33" s="208">
        <f>Lecturas!D10</f>
        <v>0.9916999936103821</v>
      </c>
      <c r="E33" s="208">
        <f>Lecturas!F10</f>
        <v>0.9916900396347046</v>
      </c>
      <c r="F33" s="208">
        <f>Lecturas!H10</f>
        <v>0.9916900396347046</v>
      </c>
      <c r="G33" s="203">
        <f>(D33+E33+F33)/3</f>
        <v>0.991693357626597</v>
      </c>
      <c r="H33" s="127"/>
      <c r="I33" s="99"/>
      <c r="J33" s="137"/>
      <c r="K33" s="138"/>
      <c r="L33" s="137"/>
      <c r="M33" s="10"/>
      <c r="N33" s="10"/>
      <c r="O33" s="10"/>
    </row>
    <row r="34" spans="1:15" ht="13.5" thickBot="1">
      <c r="A34" s="103"/>
      <c r="B34" s="219">
        <f>C34*Informe!$E$40/1000</f>
        <v>27.43825</v>
      </c>
      <c r="C34" s="217">
        <f>C22</f>
        <v>2800</v>
      </c>
      <c r="D34" s="208">
        <f>Lecturas!D9</f>
        <v>0.7909300327301025</v>
      </c>
      <c r="E34" s="208">
        <f>Lecturas!F9</f>
        <v>0.790869951248169</v>
      </c>
      <c r="F34" s="208">
        <f>Lecturas!H9</f>
        <v>0.7908599376678467</v>
      </c>
      <c r="G34" s="203">
        <f t="shared" si="0"/>
        <v>0.790886640548706</v>
      </c>
      <c r="H34" s="127"/>
      <c r="I34" s="99"/>
      <c r="J34" s="137"/>
      <c r="K34" s="138"/>
      <c r="L34" s="137"/>
      <c r="M34" s="10"/>
      <c r="N34" s="10"/>
      <c r="O34" s="10"/>
    </row>
    <row r="35" spans="1:15" ht="13.5" thickBot="1">
      <c r="A35" s="103"/>
      <c r="B35" s="219">
        <f>C35*Informe!$E$40/1000</f>
        <v>20.5786875</v>
      </c>
      <c r="C35" s="217">
        <f>C21</f>
        <v>2100</v>
      </c>
      <c r="D35" s="208">
        <f>Lecturas!D8</f>
        <v>0.5901899933815002</v>
      </c>
      <c r="E35" s="208">
        <f>Lecturas!F8</f>
        <v>0.5901000499725342</v>
      </c>
      <c r="F35" s="208">
        <f>Lecturas!H8</f>
        <v>0.5900900363922119</v>
      </c>
      <c r="G35" s="203">
        <f t="shared" si="0"/>
        <v>0.5901266932487488</v>
      </c>
      <c r="H35" s="127"/>
      <c r="I35" s="137"/>
      <c r="J35" s="137"/>
      <c r="K35" s="138"/>
      <c r="L35" s="137"/>
      <c r="M35" s="10"/>
      <c r="N35" s="10"/>
      <c r="O35" s="10"/>
    </row>
    <row r="36" spans="1:15" ht="13.5" thickBot="1">
      <c r="A36" s="103"/>
      <c r="B36" s="219">
        <f>C36*Informe!$E$40/1000</f>
        <v>13.719125</v>
      </c>
      <c r="C36" s="217">
        <f>C20</f>
        <v>1400</v>
      </c>
      <c r="D36" s="208">
        <f>Lecturas!D7</f>
        <v>0.38978835940361023</v>
      </c>
      <c r="E36" s="208">
        <f>Lecturas!F7</f>
        <v>0.38965997099876404</v>
      </c>
      <c r="F36" s="208">
        <f>Lecturas!H7</f>
        <v>0.3896683156490326</v>
      </c>
      <c r="G36" s="203">
        <f t="shared" si="0"/>
        <v>0.3897055486838023</v>
      </c>
      <c r="H36" s="127"/>
      <c r="I36" s="137"/>
      <c r="J36" s="137"/>
      <c r="K36" s="138"/>
      <c r="L36" s="137"/>
      <c r="M36" s="10"/>
      <c r="N36" s="10"/>
      <c r="O36" s="10"/>
    </row>
    <row r="37" spans="1:15" ht="13.5" thickBot="1">
      <c r="A37" s="103"/>
      <c r="B37" s="219">
        <f>C37*Informe!$E$40/1000</f>
        <v>6.8595625</v>
      </c>
      <c r="C37" s="217">
        <f>C19</f>
        <v>700</v>
      </c>
      <c r="D37" s="208">
        <f>Lecturas!D6</f>
        <v>0.19229000806808472</v>
      </c>
      <c r="E37" s="208">
        <f>Lecturas!F6</f>
        <v>0.19217999279499054</v>
      </c>
      <c r="F37" s="208">
        <f>Lecturas!H6</f>
        <v>0.19214999675750732</v>
      </c>
      <c r="G37" s="203">
        <f t="shared" si="0"/>
        <v>0.19220666587352753</v>
      </c>
      <c r="H37" s="127"/>
      <c r="I37" s="137"/>
      <c r="J37" s="137"/>
      <c r="K37" s="138"/>
      <c r="L37" s="137"/>
      <c r="M37" s="10"/>
      <c r="N37" s="10"/>
      <c r="O37" s="10"/>
    </row>
    <row r="38" spans="1:15" ht="13.5" thickBot="1">
      <c r="A38" s="103"/>
      <c r="B38" s="219">
        <f>C38*Informe!$E$40/1000</f>
        <v>0</v>
      </c>
      <c r="C38" s="218">
        <f>C18</f>
        <v>0</v>
      </c>
      <c r="D38" s="209">
        <f>Lecturas!D16</f>
        <v>-1.9999919459223747E-05</v>
      </c>
      <c r="E38" s="209">
        <f>Lecturas!F16</f>
        <v>-0.00010000006295740604</v>
      </c>
      <c r="F38" s="209">
        <f>Lecturas!H16</f>
        <v>-6.999995093792677E-05</v>
      </c>
      <c r="G38" s="205">
        <f t="shared" si="0"/>
        <v>-6.333331111818552E-05</v>
      </c>
      <c r="H38" s="127"/>
      <c r="I38" s="137"/>
      <c r="J38" s="137"/>
      <c r="K38" s="138"/>
      <c r="L38" s="137"/>
      <c r="M38" s="10"/>
      <c r="N38" s="10"/>
      <c r="O38" s="10"/>
    </row>
    <row r="39" spans="1:15" ht="12.75">
      <c r="A39" s="103"/>
      <c r="B39" s="103"/>
      <c r="C39" s="103"/>
      <c r="D39" s="103"/>
      <c r="E39" s="103"/>
      <c r="F39" s="103"/>
      <c r="G39" s="103"/>
      <c r="H39" s="103"/>
      <c r="I39" s="137"/>
      <c r="J39" s="137"/>
      <c r="K39" s="138"/>
      <c r="L39" s="137"/>
      <c r="M39" s="10"/>
      <c r="N39" s="10"/>
      <c r="O39" s="10"/>
    </row>
    <row r="40" spans="1:16" ht="13.5" thickBot="1">
      <c r="A40" s="103"/>
      <c r="B40" s="124"/>
      <c r="C40" s="127"/>
      <c r="D40" s="103"/>
      <c r="E40" s="127"/>
      <c r="F40" s="103"/>
      <c r="G40" s="103"/>
      <c r="H40" s="103"/>
      <c r="I40" s="99"/>
      <c r="J40" s="137"/>
      <c r="K40" s="138"/>
      <c r="L40" s="137"/>
      <c r="M40" s="10"/>
      <c r="N40" s="10"/>
      <c r="O40" s="10"/>
      <c r="P40" s="10"/>
    </row>
    <row r="41" spans="1:16" ht="18.75" customHeight="1" thickBot="1">
      <c r="A41" s="103"/>
      <c r="B41" s="103"/>
      <c r="C41" s="167" t="s">
        <v>8</v>
      </c>
      <c r="D41" s="168" t="s">
        <v>82</v>
      </c>
      <c r="E41" s="127"/>
      <c r="F41" s="103"/>
      <c r="G41" s="103"/>
      <c r="H41" s="103"/>
      <c r="I41" s="99"/>
      <c r="J41" s="137"/>
      <c r="K41" s="138"/>
      <c r="L41" s="137"/>
      <c r="M41" s="10"/>
      <c r="N41" s="10"/>
      <c r="O41" s="10"/>
      <c r="P41" s="10"/>
    </row>
    <row r="42" spans="1:16" ht="12.75">
      <c r="A42" s="239" t="s">
        <v>40</v>
      </c>
      <c r="B42" s="240"/>
      <c r="C42" s="236">
        <f>D42*Informe!E40/1000</f>
        <v>0.022865208333333335</v>
      </c>
      <c r="D42" s="237">
        <f>Informe!D17/Informe!D19</f>
        <v>2.3333333333333335</v>
      </c>
      <c r="E42" s="127"/>
      <c r="F42" s="103"/>
      <c r="G42" s="103"/>
      <c r="H42" s="103"/>
      <c r="I42" s="99"/>
      <c r="J42" s="137"/>
      <c r="K42" s="138"/>
      <c r="L42" s="137"/>
      <c r="M42" s="10"/>
      <c r="N42" s="10"/>
      <c r="O42" s="10"/>
      <c r="P42" s="10"/>
    </row>
    <row r="43" spans="1:16" ht="12.75" customHeight="1" thickBot="1">
      <c r="A43" s="241"/>
      <c r="B43" s="242"/>
      <c r="C43" s="236"/>
      <c r="D43" s="238"/>
      <c r="E43" s="127"/>
      <c r="F43" s="103"/>
      <c r="G43" s="103"/>
      <c r="H43" s="103"/>
      <c r="I43" s="99"/>
      <c r="J43" s="137"/>
      <c r="K43" s="138"/>
      <c r="L43" s="137"/>
      <c r="M43" s="10"/>
      <c r="N43" s="10"/>
      <c r="O43" s="10"/>
      <c r="P43" s="10"/>
    </row>
    <row r="44" spans="1:16" ht="12.75">
      <c r="A44" s="103"/>
      <c r="B44" s="103"/>
      <c r="C44" s="103"/>
      <c r="D44" s="103"/>
      <c r="E44" s="103"/>
      <c r="F44" s="103"/>
      <c r="G44" s="103"/>
      <c r="H44" s="103"/>
      <c r="I44" s="99"/>
      <c r="J44" s="137"/>
      <c r="K44" s="138"/>
      <c r="L44" s="137"/>
      <c r="M44" s="10"/>
      <c r="N44" s="10"/>
      <c r="O44" s="10"/>
      <c r="P44" s="10"/>
    </row>
    <row r="45" spans="1:16" ht="16.5" thickBot="1">
      <c r="A45" s="103" t="s">
        <v>20</v>
      </c>
      <c r="B45" s="103"/>
      <c r="C45" s="103"/>
      <c r="D45" s="103"/>
      <c r="E45" s="103"/>
      <c r="F45" s="103"/>
      <c r="G45" s="103"/>
      <c r="H45" s="103"/>
      <c r="I45" s="99"/>
      <c r="J45" s="137"/>
      <c r="K45" s="138"/>
      <c r="L45" s="137"/>
      <c r="M45" s="10"/>
      <c r="N45" s="10"/>
      <c r="O45" s="10"/>
      <c r="P45" s="10"/>
    </row>
    <row r="46" spans="1:137" s="12" customFormat="1" ht="13.5" thickBot="1">
      <c r="A46" s="124" t="s">
        <v>9</v>
      </c>
      <c r="B46" s="62">
        <f>(Auxiliar!H21-G18)/(0.75*Informe!D19)</f>
        <v>0.0006639094535882274</v>
      </c>
      <c r="C46" s="127"/>
      <c r="D46" s="103"/>
      <c r="E46" s="127"/>
      <c r="F46" s="103"/>
      <c r="G46" s="103"/>
      <c r="H46" s="103"/>
      <c r="I46" s="99"/>
      <c r="J46" s="137"/>
      <c r="K46" s="138"/>
      <c r="L46" s="137"/>
      <c r="M46" s="10"/>
      <c r="N46" s="10"/>
      <c r="O46" s="10"/>
      <c r="P46" s="10"/>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c r="DJ46" s="15"/>
      <c r="DK46" s="15"/>
      <c r="DL46" s="15"/>
      <c r="DM46" s="15"/>
      <c r="DN46" s="15"/>
      <c r="DO46" s="15"/>
      <c r="DP46" s="15"/>
      <c r="DQ46" s="15"/>
      <c r="DR46" s="15"/>
      <c r="DS46" s="15"/>
      <c r="DT46" s="15"/>
      <c r="DU46" s="15"/>
      <c r="DV46" s="15"/>
      <c r="DW46" s="15"/>
      <c r="DX46" s="15"/>
      <c r="DY46" s="15"/>
      <c r="DZ46" s="15"/>
      <c r="EA46" s="15"/>
      <c r="EB46" s="15"/>
      <c r="EC46" s="15"/>
      <c r="ED46" s="15"/>
      <c r="EE46" s="15"/>
      <c r="EF46" s="15"/>
      <c r="EG46" s="15"/>
    </row>
    <row r="47" spans="1:137" s="12" customFormat="1" ht="12.75">
      <c r="A47" s="103"/>
      <c r="B47" s="103"/>
      <c r="C47" s="103"/>
      <c r="D47" s="103"/>
      <c r="E47" s="103"/>
      <c r="F47" s="103"/>
      <c r="G47" s="127"/>
      <c r="H47" s="103"/>
      <c r="I47" s="99"/>
      <c r="J47" s="137"/>
      <c r="K47" s="138"/>
      <c r="L47" s="137"/>
      <c r="M47" s="10"/>
      <c r="N47" s="10"/>
      <c r="O47" s="10"/>
      <c r="P47" s="10"/>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row>
    <row r="48" spans="1:137" s="12" customFormat="1" ht="12.75">
      <c r="A48" s="103"/>
      <c r="B48" s="103"/>
      <c r="C48" s="103"/>
      <c r="D48" s="103"/>
      <c r="E48" s="103"/>
      <c r="F48" s="103"/>
      <c r="G48" s="103"/>
      <c r="H48" s="103"/>
      <c r="I48" s="99"/>
      <c r="J48" s="137"/>
      <c r="K48" s="138"/>
      <c r="L48" s="137"/>
      <c r="M48" s="10"/>
      <c r="N48" s="10"/>
      <c r="O48" s="10"/>
      <c r="P48" s="10"/>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c r="DJ48" s="15"/>
      <c r="DK48" s="15"/>
      <c r="DL48" s="15"/>
      <c r="DM48" s="15"/>
      <c r="DN48" s="15"/>
      <c r="DO48" s="15"/>
      <c r="DP48" s="15"/>
      <c r="DQ48" s="15"/>
      <c r="DR48" s="15"/>
      <c r="DS48" s="15"/>
      <c r="DT48" s="15"/>
      <c r="DU48" s="15"/>
      <c r="DV48" s="15"/>
      <c r="DW48" s="15"/>
      <c r="DX48" s="15"/>
      <c r="DY48" s="15"/>
      <c r="DZ48" s="15"/>
      <c r="EA48" s="15"/>
      <c r="EB48" s="15"/>
      <c r="EC48" s="15"/>
      <c r="ED48" s="15"/>
      <c r="EE48" s="15"/>
      <c r="EF48" s="15"/>
      <c r="EG48" s="15"/>
    </row>
    <row r="49" spans="1:137" s="12" customFormat="1" ht="12.75">
      <c r="A49" s="99"/>
      <c r="B49" s="99"/>
      <c r="C49" s="99"/>
      <c r="D49" s="99"/>
      <c r="E49" s="99"/>
      <c r="F49" s="99"/>
      <c r="G49" s="99"/>
      <c r="H49" s="99"/>
      <c r="I49" s="99"/>
      <c r="J49" s="137"/>
      <c r="K49" s="138"/>
      <c r="L49" s="137"/>
      <c r="M49" s="10"/>
      <c r="N49" s="10"/>
      <c r="O49" s="10"/>
      <c r="P49" s="10"/>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row>
    <row r="50" spans="1:137" s="12" customFormat="1" ht="12.75">
      <c r="A50" s="99"/>
      <c r="B50" s="99"/>
      <c r="C50" s="99"/>
      <c r="D50" s="99"/>
      <c r="E50" s="99"/>
      <c r="F50" s="99"/>
      <c r="G50" s="99"/>
      <c r="H50" s="99"/>
      <c r="I50" s="99"/>
      <c r="J50" s="137"/>
      <c r="K50" s="138"/>
      <c r="L50" s="137"/>
      <c r="M50" s="10"/>
      <c r="N50" s="10"/>
      <c r="O50" s="10"/>
      <c r="P50" s="10"/>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row>
    <row r="51" spans="1:137" s="12" customFormat="1" ht="12.75">
      <c r="A51" s="99"/>
      <c r="B51" s="99"/>
      <c r="C51" s="99"/>
      <c r="D51" s="99"/>
      <c r="E51" s="99"/>
      <c r="F51" s="99"/>
      <c r="G51" s="99"/>
      <c r="H51" s="99"/>
      <c r="I51" s="99"/>
      <c r="J51" s="137"/>
      <c r="K51" s="138"/>
      <c r="L51" s="137"/>
      <c r="M51" s="10"/>
      <c r="N51" s="10"/>
      <c r="O51" s="10"/>
      <c r="P51" s="10"/>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row>
    <row r="52" spans="1:137" s="12" customFormat="1" ht="12.75">
      <c r="A52" s="99"/>
      <c r="B52" s="99"/>
      <c r="C52" s="99"/>
      <c r="D52" s="99"/>
      <c r="E52" s="99"/>
      <c r="F52" s="99"/>
      <c r="G52" s="99"/>
      <c r="H52" s="99"/>
      <c r="I52" s="99"/>
      <c r="J52" s="137"/>
      <c r="K52" s="138"/>
      <c r="L52" s="137"/>
      <c r="M52" s="10"/>
      <c r="N52" s="10"/>
      <c r="O52" s="10"/>
      <c r="P52" s="10"/>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c r="DJ52" s="15"/>
      <c r="DK52" s="15"/>
      <c r="DL52" s="15"/>
      <c r="DM52" s="15"/>
      <c r="DN52" s="15"/>
      <c r="DO52" s="15"/>
      <c r="DP52" s="15"/>
      <c r="DQ52" s="15"/>
      <c r="DR52" s="15"/>
      <c r="DS52" s="15"/>
      <c r="DT52" s="15"/>
      <c r="DU52" s="15"/>
      <c r="DV52" s="15"/>
      <c r="DW52" s="15"/>
      <c r="DX52" s="15"/>
      <c r="DY52" s="15"/>
      <c r="DZ52" s="15"/>
      <c r="EA52" s="15"/>
      <c r="EB52" s="15"/>
      <c r="EC52" s="15"/>
      <c r="ED52" s="15"/>
      <c r="EE52" s="15"/>
      <c r="EF52" s="15"/>
      <c r="EG52" s="15"/>
    </row>
    <row r="53" spans="1:137" s="12" customFormat="1" ht="12.75">
      <c r="A53" s="99"/>
      <c r="B53" s="99"/>
      <c r="C53" s="99"/>
      <c r="D53" s="99"/>
      <c r="E53" s="99"/>
      <c r="F53" s="99"/>
      <c r="G53" s="99"/>
      <c r="H53" s="99"/>
      <c r="I53" s="99"/>
      <c r="J53" s="137"/>
      <c r="K53" s="138"/>
      <c r="L53" s="137"/>
      <c r="M53" s="10"/>
      <c r="N53" s="10"/>
      <c r="O53" s="10"/>
      <c r="P53" s="10"/>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row>
    <row r="54" spans="1:137" s="12" customFormat="1" ht="12.75">
      <c r="A54" s="99"/>
      <c r="B54" s="99"/>
      <c r="C54" s="99"/>
      <c r="D54" s="99"/>
      <c r="E54" s="99"/>
      <c r="F54" s="99"/>
      <c r="G54" s="99"/>
      <c r="H54" s="99"/>
      <c r="I54" s="99"/>
      <c r="J54" s="137"/>
      <c r="K54" s="138"/>
      <c r="L54" s="137"/>
      <c r="M54" s="10"/>
      <c r="N54" s="10"/>
      <c r="O54" s="10"/>
      <c r="P54" s="10"/>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row>
    <row r="55" spans="1:137" s="12" customFormat="1" ht="12.75">
      <c r="A55" s="99"/>
      <c r="B55" s="99"/>
      <c r="C55" s="99"/>
      <c r="D55" s="99"/>
      <c r="E55" s="99"/>
      <c r="F55" s="99"/>
      <c r="G55" s="99"/>
      <c r="H55" s="99"/>
      <c r="I55" s="99"/>
      <c r="J55" s="137"/>
      <c r="K55" s="138"/>
      <c r="L55" s="137"/>
      <c r="M55" s="10"/>
      <c r="N55" s="10"/>
      <c r="O55" s="10"/>
      <c r="P55" s="10"/>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c r="DQ55" s="15"/>
      <c r="DR55" s="15"/>
      <c r="DS55" s="15"/>
      <c r="DT55" s="15"/>
      <c r="DU55" s="15"/>
      <c r="DV55" s="15"/>
      <c r="DW55" s="15"/>
      <c r="DX55" s="15"/>
      <c r="DY55" s="15"/>
      <c r="DZ55" s="15"/>
      <c r="EA55" s="15"/>
      <c r="EB55" s="15"/>
      <c r="EC55" s="15"/>
      <c r="ED55" s="15"/>
      <c r="EE55" s="15"/>
      <c r="EF55" s="15"/>
      <c r="EG55" s="15"/>
    </row>
    <row r="56" spans="1:137" s="12" customFormat="1" ht="12.75">
      <c r="A56" s="99"/>
      <c r="B56" s="99"/>
      <c r="C56" s="99"/>
      <c r="D56" s="99"/>
      <c r="E56" s="99"/>
      <c r="F56" s="99"/>
      <c r="G56" s="99"/>
      <c r="H56" s="99"/>
      <c r="I56" s="99"/>
      <c r="J56" s="137"/>
      <c r="K56" s="138"/>
      <c r="L56" s="137"/>
      <c r="M56" s="10"/>
      <c r="N56" s="10"/>
      <c r="O56" s="10"/>
      <c r="P56" s="10"/>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row>
    <row r="57" spans="1:137" s="12" customFormat="1" ht="12.75">
      <c r="A57" s="99"/>
      <c r="B57" s="99"/>
      <c r="C57" s="99"/>
      <c r="D57" s="99"/>
      <c r="E57" s="99"/>
      <c r="F57" s="99"/>
      <c r="G57" s="99"/>
      <c r="H57" s="99"/>
      <c r="I57" s="99"/>
      <c r="J57" s="137"/>
      <c r="K57" s="138"/>
      <c r="L57" s="137"/>
      <c r="M57" s="10"/>
      <c r="N57" s="10"/>
      <c r="O57" s="10"/>
      <c r="P57" s="10"/>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row>
    <row r="58" spans="1:137" s="12" customFormat="1" ht="12.75">
      <c r="A58" s="99"/>
      <c r="B58" s="99"/>
      <c r="C58" s="99"/>
      <c r="D58" s="99"/>
      <c r="E58" s="99"/>
      <c r="F58" s="99"/>
      <c r="G58" s="99"/>
      <c r="H58" s="99"/>
      <c r="I58" s="99"/>
      <c r="J58" s="137"/>
      <c r="K58" s="138"/>
      <c r="L58" s="137"/>
      <c r="M58" s="10"/>
      <c r="N58" s="10"/>
      <c r="O58" s="10"/>
      <c r="P58" s="10"/>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row>
    <row r="59" spans="1:137" s="12" customFormat="1" ht="12.75">
      <c r="A59" s="15"/>
      <c r="B59" s="15"/>
      <c r="C59" s="15"/>
      <c r="D59" s="15"/>
      <c r="E59" s="15"/>
      <c r="F59" s="15"/>
      <c r="G59" s="15"/>
      <c r="H59" s="15"/>
      <c r="I59" s="15"/>
      <c r="J59" s="10"/>
      <c r="K59" s="14"/>
      <c r="L59" s="10"/>
      <c r="M59" s="10"/>
      <c r="N59" s="10"/>
      <c r="O59" s="10"/>
      <c r="P59" s="10"/>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row>
    <row r="60" spans="1:10" ht="12.75">
      <c r="A60" s="15"/>
      <c r="B60" s="15"/>
      <c r="C60" s="15"/>
      <c r="D60" s="15"/>
      <c r="E60" s="15"/>
      <c r="F60" s="15"/>
      <c r="G60" s="15"/>
      <c r="H60" s="15"/>
      <c r="I60" s="15"/>
      <c r="J60" s="10"/>
    </row>
  </sheetData>
  <mergeCells count="9">
    <mergeCell ref="A1:G1"/>
    <mergeCell ref="C4:D4"/>
    <mergeCell ref="E4:F4"/>
    <mergeCell ref="G4:H4"/>
    <mergeCell ref="C42:C43"/>
    <mergeCell ref="D42:D43"/>
    <mergeCell ref="A42:B43"/>
    <mergeCell ref="B15:C15"/>
    <mergeCell ref="B16:C16"/>
  </mergeCell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T78"/>
  <sheetViews>
    <sheetView zoomScale="75" zoomScaleNormal="75" workbookViewId="0" topLeftCell="A8">
      <selection activeCell="E9" sqref="E9"/>
    </sheetView>
  </sheetViews>
  <sheetFormatPr defaultColWidth="11.421875" defaultRowHeight="12.75"/>
  <cols>
    <col min="1" max="1" width="10.421875" style="0" customWidth="1"/>
    <col min="5" max="5" width="12.7109375" style="0" bestFit="1" customWidth="1"/>
    <col min="7" max="7" width="11.57421875" style="16" bestFit="1" customWidth="1"/>
    <col min="8" max="8" width="12.28125" style="0" bestFit="1" customWidth="1"/>
  </cols>
  <sheetData>
    <row r="1" spans="1:20" ht="12.75">
      <c r="A1" s="103"/>
      <c r="B1" s="103"/>
      <c r="C1" s="103"/>
      <c r="D1" s="103"/>
      <c r="E1" s="103"/>
      <c r="F1" s="103"/>
      <c r="G1" s="116"/>
      <c r="H1" s="103"/>
      <c r="I1" s="99"/>
      <c r="J1" s="99"/>
      <c r="K1" s="99"/>
      <c r="L1" s="99"/>
      <c r="M1" s="99"/>
      <c r="N1" s="99"/>
      <c r="O1" s="99"/>
      <c r="P1" s="99"/>
      <c r="Q1" s="99"/>
      <c r="R1" s="99"/>
      <c r="S1" s="99"/>
      <c r="T1" s="99"/>
    </row>
    <row r="2" spans="1:20" ht="12.75">
      <c r="A2" s="103"/>
      <c r="B2" s="103"/>
      <c r="C2" s="103"/>
      <c r="D2" s="103"/>
      <c r="E2" s="103"/>
      <c r="F2" s="103"/>
      <c r="G2" s="103"/>
      <c r="H2" s="103"/>
      <c r="I2" s="99"/>
      <c r="J2" s="99"/>
      <c r="K2" s="99"/>
      <c r="L2" s="99"/>
      <c r="M2" s="99"/>
      <c r="N2" s="99"/>
      <c r="O2" s="99"/>
      <c r="P2" s="99"/>
      <c r="Q2" s="99"/>
      <c r="R2" s="99"/>
      <c r="S2" s="99"/>
      <c r="T2" s="99"/>
    </row>
    <row r="3" spans="1:20" ht="15">
      <c r="A3" s="103"/>
      <c r="B3" s="118" t="s">
        <v>61</v>
      </c>
      <c r="C3" s="118"/>
      <c r="D3" s="117"/>
      <c r="E3" s="117"/>
      <c r="F3" s="117"/>
      <c r="G3" s="117"/>
      <c r="H3" s="119"/>
      <c r="I3" s="99"/>
      <c r="J3" s="99"/>
      <c r="K3" s="99"/>
      <c r="L3" s="99"/>
      <c r="M3" s="99"/>
      <c r="N3" s="99"/>
      <c r="O3" s="99"/>
      <c r="P3" s="99"/>
      <c r="Q3" s="99"/>
      <c r="R3" s="99"/>
      <c r="S3" s="99"/>
      <c r="T3" s="99"/>
    </row>
    <row r="4" spans="1:20" ht="12.75">
      <c r="A4" s="103"/>
      <c r="B4" s="120" t="s">
        <v>14</v>
      </c>
      <c r="C4" s="103"/>
      <c r="D4" s="103"/>
      <c r="E4" s="103"/>
      <c r="F4" s="103"/>
      <c r="G4" s="116"/>
      <c r="H4" s="103"/>
      <c r="I4" s="99"/>
      <c r="J4" s="99"/>
      <c r="K4" s="99"/>
      <c r="L4" s="99"/>
      <c r="M4" s="99"/>
      <c r="N4" s="99"/>
      <c r="O4" s="99"/>
      <c r="P4" s="99"/>
      <c r="Q4" s="99"/>
      <c r="R4" s="99"/>
      <c r="S4" s="99"/>
      <c r="T4" s="99"/>
    </row>
    <row r="5" spans="1:20" ht="12.75">
      <c r="A5" s="103"/>
      <c r="B5" s="103"/>
      <c r="C5" s="103"/>
      <c r="D5" s="103"/>
      <c r="E5" s="103"/>
      <c r="F5" s="103"/>
      <c r="G5" s="116"/>
      <c r="H5" s="103"/>
      <c r="I5" s="99"/>
      <c r="J5" s="99"/>
      <c r="K5" s="99"/>
      <c r="L5" s="99"/>
      <c r="M5" s="99"/>
      <c r="N5" s="99"/>
      <c r="O5" s="99"/>
      <c r="P5" s="99"/>
      <c r="Q5" s="99"/>
      <c r="R5" s="99"/>
      <c r="S5" s="99"/>
      <c r="T5" s="99"/>
    </row>
    <row r="6" spans="1:20" ht="13.5" thickBot="1">
      <c r="A6" s="103"/>
      <c r="B6" s="103"/>
      <c r="C6" s="103"/>
      <c r="D6" s="103"/>
      <c r="E6" s="103"/>
      <c r="F6" s="103"/>
      <c r="G6" s="116"/>
      <c r="H6" s="103"/>
      <c r="I6" s="99"/>
      <c r="J6" s="99"/>
      <c r="K6" s="99"/>
      <c r="L6" s="99"/>
      <c r="M6" s="99"/>
      <c r="N6" s="99"/>
      <c r="O6" s="99"/>
      <c r="P6" s="99"/>
      <c r="Q6" s="99"/>
      <c r="R6" s="99"/>
      <c r="S6" s="99"/>
      <c r="T6" s="99"/>
    </row>
    <row r="7" spans="1:20" ht="39" thickBot="1">
      <c r="A7" s="103"/>
      <c r="B7" s="64" t="s">
        <v>123</v>
      </c>
      <c r="C7" s="64" t="s">
        <v>122</v>
      </c>
      <c r="D7" s="65" t="s">
        <v>10</v>
      </c>
      <c r="E7" s="65" t="s">
        <v>11</v>
      </c>
      <c r="F7" s="65" t="s">
        <v>12</v>
      </c>
      <c r="G7" s="66" t="s">
        <v>13</v>
      </c>
      <c r="H7" s="63" t="s">
        <v>62</v>
      </c>
      <c r="I7" s="99"/>
      <c r="J7" s="99"/>
      <c r="K7" s="99"/>
      <c r="L7" s="99"/>
      <c r="M7" s="99"/>
      <c r="N7" s="99"/>
      <c r="O7" s="99"/>
      <c r="P7" s="99"/>
      <c r="Q7" s="99"/>
      <c r="R7" s="99"/>
      <c r="S7" s="99"/>
      <c r="T7" s="99"/>
    </row>
    <row r="8" spans="1:20" ht="13.5" thickBot="1">
      <c r="A8" s="103"/>
      <c r="B8" s="224">
        <f>'Tabla A1'!B18</f>
        <v>0</v>
      </c>
      <c r="C8" s="201">
        <f>'Tabla A1'!C18</f>
        <v>0</v>
      </c>
      <c r="D8" s="3">
        <f>(C8-$C$8)/($C$18-$C$8)*Informe!D19*'Tabla A1'!B46</f>
        <v>0</v>
      </c>
      <c r="E8" s="3">
        <f>'Tabla A1'!G18-'Tabla A1'!$G$18</f>
        <v>0</v>
      </c>
      <c r="F8" s="3"/>
      <c r="G8" s="67"/>
      <c r="H8" s="68"/>
      <c r="I8" s="99"/>
      <c r="J8" s="99"/>
      <c r="K8" s="99"/>
      <c r="L8" s="99"/>
      <c r="M8" s="99"/>
      <c r="N8" s="99"/>
      <c r="O8" s="99"/>
      <c r="P8" s="99"/>
      <c r="Q8" s="99"/>
      <c r="R8" s="99"/>
      <c r="S8" s="99"/>
      <c r="T8" s="99"/>
    </row>
    <row r="9" spans="1:20" ht="13.5" thickBot="1">
      <c r="A9" s="103"/>
      <c r="B9" s="224">
        <f>'Tabla A1'!B19</f>
        <v>6.8595625</v>
      </c>
      <c r="C9" s="201">
        <f>'Tabla A1'!C19</f>
        <v>700</v>
      </c>
      <c r="D9" s="5">
        <f>(C9-$C$8)/($C$18-$C$8)*Informe!$D$19*'Tabla A1'!$B$46</f>
        <v>0.1991728360764682</v>
      </c>
      <c r="E9" s="5">
        <f>'Tabla A1'!G19-'Tabla A1'!$G$18</f>
        <v>0.1973795855883509</v>
      </c>
      <c r="F9" s="1">
        <f>(E9-D9)/'Tabla A1'!$B$46</f>
        <v>-2.701046774413816</v>
      </c>
      <c r="G9" s="17">
        <f>IF(AND('Tabla A2'!C9&lt;=Auxiliar!$C$11,'Tabla A2'!C9&gt;=0),0.5*Informe!$D$24,IF(AND('Tabla A2'!C9&gt;Auxiliar!$C$11,'Tabla A2'!C9&lt;=Auxiliar!$C$12),Informe!$D$24,IF(AND('Tabla A2'!C9&gt;Auxiliar!$C$12,'Tabla A2'!C9&lt;=Auxiliar!$C$13),1.5*Informe!$D$24)))</f>
        <v>0.35</v>
      </c>
      <c r="H9" s="69" t="str">
        <f>IF(ABS(F9)&lt;G9,"favorable","desfavorable")</f>
        <v>desfavorable</v>
      </c>
      <c r="I9" s="99"/>
      <c r="J9" s="99"/>
      <c r="K9" s="99"/>
      <c r="L9" s="99"/>
      <c r="M9" s="99"/>
      <c r="N9" s="99"/>
      <c r="O9" s="99"/>
      <c r="P9" s="99"/>
      <c r="Q9" s="99"/>
      <c r="R9" s="99"/>
      <c r="S9" s="99"/>
      <c r="T9" s="99"/>
    </row>
    <row r="10" spans="1:20" ht="13.5" thickBot="1">
      <c r="A10" s="103"/>
      <c r="B10" s="224">
        <f>'Tabla A1'!B20</f>
        <v>13.719125</v>
      </c>
      <c r="C10" s="201">
        <f>'Tabla A1'!C20</f>
        <v>1400</v>
      </c>
      <c r="D10" s="5">
        <f>(C10-$C$8)/($C$18-$C$8)*Informe!$D$19*'Tabla A1'!$B$46</f>
        <v>0.3983456721529364</v>
      </c>
      <c r="E10" s="5">
        <f>'Tabla A1'!G20-'Tabla A1'!$G$18</f>
        <v>0.39263188986418146</v>
      </c>
      <c r="F10" s="1">
        <f>(E10-D10)/'Tabla A1'!$B$46</f>
        <v>-8.606267402691318</v>
      </c>
      <c r="G10" s="17">
        <f>IF(AND('Tabla A2'!C10&lt;=Auxiliar!$C$11,'Tabla A2'!C10&gt;=0),0.5*Informe!$D$24,IF(AND('Tabla A2'!C10&gt;Auxiliar!$C$11,'Tabla A2'!C10&lt;=Auxiliar!$C$12),Informe!$D$24,IF(AND('Tabla A2'!C10&gt;Auxiliar!$C$12,'Tabla A2'!C10&lt;=Auxiliar!$C$13),1.5*Informe!$D$24)))</f>
        <v>0.7</v>
      </c>
      <c r="H10" s="69" t="str">
        <f aca="true" t="shared" si="0" ref="H10:H28">IF(ABS(F10)&lt;G10,"favorable","desfavorable")</f>
        <v>desfavorable</v>
      </c>
      <c r="I10" s="99"/>
      <c r="J10" s="99"/>
      <c r="K10" s="99"/>
      <c r="L10" s="99"/>
      <c r="M10" s="99"/>
      <c r="N10" s="99"/>
      <c r="O10" s="99"/>
      <c r="P10" s="99"/>
      <c r="Q10" s="99"/>
      <c r="R10" s="99"/>
      <c r="S10" s="99"/>
      <c r="T10" s="99"/>
    </row>
    <row r="11" spans="1:20" ht="13.5" thickBot="1">
      <c r="A11" s="103"/>
      <c r="B11" s="224">
        <f>'Tabla A1'!B21</f>
        <v>20.5786875</v>
      </c>
      <c r="C11" s="201">
        <f>'Tabla A1'!C21</f>
        <v>2100</v>
      </c>
      <c r="D11" s="5">
        <f>(C11-$C$8)/($C$18-$C$8)*Informe!$D$19*'Tabla A1'!$B$46</f>
        <v>0.5975185082294047</v>
      </c>
      <c r="E11" s="5">
        <f>'Tabla A1'!G21-'Tabla A1'!$G$18</f>
        <v>0.5902200157288462</v>
      </c>
      <c r="F11" s="1">
        <f>(E11-D11)/'Tabla A1'!$B$46</f>
        <v>-10.99320466234116</v>
      </c>
      <c r="G11" s="17">
        <f>IF(AND('Tabla A2'!C11&lt;=Auxiliar!$C$11,'Tabla A2'!C11&gt;=0),0.5*Informe!$D$24,IF(AND('Tabla A2'!C11&gt;Auxiliar!$C$11,'Tabla A2'!C11&lt;=Auxiliar!$C$12),Informe!$D$24,IF(AND('Tabla A2'!C11&gt;Auxiliar!$C$12,'Tabla A2'!C11&lt;=Auxiliar!$C$13),1.5*Informe!$D$24)))</f>
        <v>0.7</v>
      </c>
      <c r="H11" s="69" t="str">
        <f t="shared" si="0"/>
        <v>desfavorable</v>
      </c>
      <c r="I11" s="99"/>
      <c r="J11" s="99"/>
      <c r="K11" s="99"/>
      <c r="L11" s="99"/>
      <c r="M11" s="99"/>
      <c r="N11" s="99"/>
      <c r="O11" s="99"/>
      <c r="P11" s="99"/>
      <c r="Q11" s="99"/>
      <c r="R11" s="99"/>
      <c r="S11" s="99"/>
      <c r="T11" s="99"/>
    </row>
    <row r="12" spans="1:20" ht="13.5" thickBot="1">
      <c r="A12" s="103"/>
      <c r="B12" s="224">
        <f>'Tabla A1'!B22</f>
        <v>27.43825</v>
      </c>
      <c r="C12" s="201">
        <f>'Tabla A1'!C22</f>
        <v>2800</v>
      </c>
      <c r="D12" s="5">
        <f>(C12-$C$8)/($C$18-$C$8)*Informe!$D$19*'Tabla A1'!$B$46</f>
        <v>0.7966913443058729</v>
      </c>
      <c r="E12" s="5">
        <f>'Tabla A1'!G22-'Tabla A1'!$G$18</f>
        <v>0.7907262260559946</v>
      </c>
      <c r="F12" s="1">
        <f>(E12-D12)/'Tabla A1'!$B$46</f>
        <v>-8.984837040109284</v>
      </c>
      <c r="G12" s="17">
        <f>IF(AND('Tabla A2'!C12&lt;=Auxiliar!$C$11,'Tabla A2'!C12&gt;=0),0.5*Informe!$D$24,IF(AND('Tabla A2'!C12&gt;Auxiliar!$C$11,'Tabla A2'!C12&lt;=Auxiliar!$C$12),Informe!$D$24,IF(AND('Tabla A2'!C12&gt;Auxiliar!$C$12,'Tabla A2'!C12&lt;=Auxiliar!$C$13),1.5*Informe!$D$24)))</f>
        <v>0.7</v>
      </c>
      <c r="H12" s="69" t="str">
        <f t="shared" si="0"/>
        <v>desfavorable</v>
      </c>
      <c r="I12" s="99"/>
      <c r="J12" s="99"/>
      <c r="K12" s="99"/>
      <c r="L12" s="99"/>
      <c r="M12" s="99"/>
      <c r="N12" s="99"/>
      <c r="O12" s="99"/>
      <c r="P12" s="99"/>
      <c r="Q12" s="99"/>
      <c r="R12" s="99"/>
      <c r="S12" s="99"/>
      <c r="T12" s="99"/>
    </row>
    <row r="13" spans="1:20" ht="13.5" thickBot="1">
      <c r="A13" s="103"/>
      <c r="B13" s="224">
        <f>'Tabla A1'!B23</f>
        <v>34.2978125</v>
      </c>
      <c r="C13" s="201">
        <f>'Tabla A1'!C23</f>
        <v>3500</v>
      </c>
      <c r="D13" s="5">
        <f>(C13-$C$8)/($C$18-$C$8)*Informe!$D$19*'Tabla A1'!$B$46</f>
        <v>0.995864180382341</v>
      </c>
      <c r="E13" s="5">
        <f>'Tabla A1'!G23-'Tabla A1'!$G$18</f>
        <v>0.9915333603663992</v>
      </c>
      <c r="F13" s="1">
        <f>(E13-D13)/'Tabla A1'!$B$46</f>
        <v>-6.523208838999227</v>
      </c>
      <c r="G13" s="17">
        <f>IF(AND('Tabla A2'!C13&lt;=Auxiliar!$C$11,'Tabla A2'!C13&gt;=0),0.5*Informe!$D$24,IF(AND('Tabla A2'!C13&gt;Auxiliar!$C$11,'Tabla A2'!C13&lt;=Auxiliar!$C$12),Informe!$D$24,IF(AND('Tabla A2'!C13&gt;Auxiliar!$C$12,'Tabla A2'!C13&lt;=Auxiliar!$C$13),1.5*Informe!$D$24)))</f>
        <v>0.7</v>
      </c>
      <c r="H13" s="69" t="str">
        <f t="shared" si="0"/>
        <v>desfavorable</v>
      </c>
      <c r="I13" s="99"/>
      <c r="J13" s="99"/>
      <c r="K13" s="99"/>
      <c r="L13" s="99"/>
      <c r="M13" s="99"/>
      <c r="N13" s="99"/>
      <c r="O13" s="99"/>
      <c r="P13" s="99"/>
      <c r="Q13" s="99"/>
      <c r="R13" s="99"/>
      <c r="S13" s="99"/>
      <c r="T13" s="99"/>
    </row>
    <row r="14" spans="1:20" ht="13.5" thickBot="1">
      <c r="A14" s="103"/>
      <c r="B14" s="224">
        <f>'Tabla A1'!B24</f>
        <v>41.157375</v>
      </c>
      <c r="C14" s="201">
        <f>'Tabla A1'!C24</f>
        <v>4200</v>
      </c>
      <c r="D14" s="5">
        <f>(C14-$C$8)/($C$18-$C$8)*Informe!$D$19*'Tabla A1'!$B$46</f>
        <v>1.1950370164588093</v>
      </c>
      <c r="E14" s="5">
        <f>'Tabla A1'!G24-'Tabla A1'!$G$18</f>
        <v>1.1923999801122893</v>
      </c>
      <c r="F14" s="1">
        <f>(E14-D14)/'Tabla A1'!$B$46</f>
        <v>-3.9719819205279308</v>
      </c>
      <c r="G14" s="17">
        <f>IF(AND('Tabla A2'!C14&lt;=Auxiliar!$C$11,'Tabla A2'!C14&gt;=0),0.5*Informe!$D$24,IF(AND('Tabla A2'!C14&gt;Auxiliar!$C$11,'Tabla A2'!C14&lt;=Auxiliar!$C$12),Informe!$D$24,IF(AND('Tabla A2'!C14&gt;Auxiliar!$C$12,'Tabla A2'!C14&lt;=Auxiliar!$C$13),1.5*Informe!$D$24)))</f>
        <v>0.7</v>
      </c>
      <c r="H14" s="69" t="str">
        <f t="shared" si="0"/>
        <v>desfavorable</v>
      </c>
      <c r="I14" s="99"/>
      <c r="J14" s="99"/>
      <c r="K14" s="99"/>
      <c r="L14" s="99"/>
      <c r="M14" s="99"/>
      <c r="N14" s="99"/>
      <c r="O14" s="99"/>
      <c r="P14" s="99"/>
      <c r="Q14" s="99"/>
      <c r="R14" s="99"/>
      <c r="S14" s="99"/>
      <c r="T14" s="99"/>
    </row>
    <row r="15" spans="1:20" ht="13.5" thickBot="1">
      <c r="A15" s="103"/>
      <c r="B15" s="224">
        <f>'Tabla A1'!B25</f>
        <v>48.0169375</v>
      </c>
      <c r="C15" s="201">
        <f>'Tabla A1'!C25</f>
        <v>4900</v>
      </c>
      <c r="D15" s="5">
        <f>(C15-$C$8)/($C$18-$C$8)*Informe!$D$19*'Tabla A1'!$B$46</f>
        <v>1.3942098525352775</v>
      </c>
      <c r="E15" s="5">
        <f>'Tabla A1'!G25-'Tabla A1'!$G$18</f>
        <v>1.3933366551840056</v>
      </c>
      <c r="F15" s="1">
        <f>(E15-D15)/'Tabla A1'!$B$46</f>
        <v>-1.315235604121207</v>
      </c>
      <c r="G15" s="17">
        <f>IF(AND('Tabla A2'!C15&lt;=Auxiliar!$C$11,'Tabla A2'!C15&gt;=0),0.5*Informe!$D$24,IF(AND('Tabla A2'!C15&gt;Auxiliar!$C$11,'Tabla A2'!C15&lt;=Auxiliar!$C$12),Informe!$D$24,IF(AND('Tabla A2'!C15&gt;Auxiliar!$C$12,'Tabla A2'!C15&lt;=Auxiliar!$C$13),1.5*Informe!$D$24)))</f>
        <v>1.0499999999999998</v>
      </c>
      <c r="H15" s="69" t="str">
        <f t="shared" si="0"/>
        <v>desfavorable</v>
      </c>
      <c r="I15" s="99"/>
      <c r="J15" s="99"/>
      <c r="K15" s="99"/>
      <c r="L15" s="99"/>
      <c r="M15" s="99"/>
      <c r="N15" s="99"/>
      <c r="O15" s="99"/>
      <c r="P15" s="99"/>
      <c r="Q15" s="99"/>
      <c r="R15" s="99"/>
      <c r="S15" s="99"/>
      <c r="T15" s="99"/>
    </row>
    <row r="16" spans="1:20" ht="13.5" thickBot="1">
      <c r="A16" s="103"/>
      <c r="B16" s="224">
        <f>'Tabla A1'!B26</f>
        <v>54.8765</v>
      </c>
      <c r="C16" s="201">
        <f>'Tabla A1'!C26</f>
        <v>5600</v>
      </c>
      <c r="D16" s="5">
        <f>(C16-$C$8)/($C$18-$C$8)*Informe!$D$19*'Tabla A1'!$B$46</f>
        <v>1.5933826886117457</v>
      </c>
      <c r="E16" s="5">
        <f>'Tabla A1'!G26-'Tabla A1'!$G$18</f>
        <v>1.5942558859630176</v>
      </c>
      <c r="F16" s="1">
        <f>(E16-D16)/'Tabla A1'!$B$46</f>
        <v>1.315235604121207</v>
      </c>
      <c r="G16" s="17">
        <f>IF(AND('Tabla A2'!C16&lt;=Auxiliar!$C$11,'Tabla A2'!C16&gt;=0),0.5*Informe!$D$24,IF(AND('Tabla A2'!C16&gt;Auxiliar!$C$11,'Tabla A2'!C16&lt;=Auxiliar!$C$12),Informe!$D$24,IF(AND('Tabla A2'!C16&gt;Auxiliar!$C$12,'Tabla A2'!C16&lt;=Auxiliar!$C$13),1.5*Informe!$D$24)))</f>
        <v>1.0499999999999998</v>
      </c>
      <c r="H16" s="69" t="str">
        <f t="shared" si="0"/>
        <v>desfavorable</v>
      </c>
      <c r="I16" s="99"/>
      <c r="J16" s="99"/>
      <c r="K16" s="99"/>
      <c r="L16" s="99"/>
      <c r="M16" s="99"/>
      <c r="N16" s="99"/>
      <c r="O16" s="99"/>
      <c r="P16" s="99"/>
      <c r="Q16" s="99"/>
      <c r="R16" s="99"/>
      <c r="S16" s="99"/>
      <c r="T16" s="99"/>
    </row>
    <row r="17" spans="1:20" ht="13.5" thickBot="1">
      <c r="A17" s="103"/>
      <c r="B17" s="224">
        <f>'Tabla A1'!B27</f>
        <v>61.7360625</v>
      </c>
      <c r="C17" s="201">
        <f>'Tabla A1'!C27</f>
        <v>6300</v>
      </c>
      <c r="D17" s="5">
        <f>(C17-$C$8)/($C$18-$C$8)*Informe!$D$19*'Tabla A1'!$B$46</f>
        <v>1.7925555246882139</v>
      </c>
      <c r="E17" s="5">
        <f>'Tabla A1'!G27-'Tabla A1'!$G$18</f>
        <v>1.7951565200928599</v>
      </c>
      <c r="F17" s="1">
        <f>(E17-D17)/'Tabla A1'!$B$46</f>
        <v>3.9176959909041726</v>
      </c>
      <c r="G17" s="17">
        <f>IF(AND('Tabla A2'!C17&lt;=Auxiliar!$C$11,'Tabla A2'!C17&gt;=0),0.5*Informe!$D$24,IF(AND('Tabla A2'!C17&gt;Auxiliar!$C$11,'Tabla A2'!C17&lt;=Auxiliar!$C$12),Informe!$D$24,IF(AND('Tabla A2'!C17&gt;Auxiliar!$C$12,'Tabla A2'!C17&lt;=Auxiliar!$C$13),1.5*Informe!$D$24)))</f>
        <v>1.0499999999999998</v>
      </c>
      <c r="H17" s="69" t="str">
        <f t="shared" si="0"/>
        <v>desfavorable</v>
      </c>
      <c r="I17" s="99"/>
      <c r="J17" s="99"/>
      <c r="K17" s="99"/>
      <c r="L17" s="99"/>
      <c r="M17" s="99"/>
      <c r="N17" s="99"/>
      <c r="O17" s="99"/>
      <c r="P17" s="99"/>
      <c r="Q17" s="99"/>
      <c r="R17" s="99"/>
      <c r="S17" s="99"/>
      <c r="T17" s="99"/>
    </row>
    <row r="18" spans="1:20" ht="13.5" thickBot="1">
      <c r="A18" s="103"/>
      <c r="B18" s="224">
        <f>'Tabla A1'!B28</f>
        <v>68.595625</v>
      </c>
      <c r="C18" s="201">
        <f>'Tabla A1'!C28</f>
        <v>7000</v>
      </c>
      <c r="D18" s="5">
        <f>(C18-$C$8)/($C$18-$C$8)*Informe!$D$19*'Tabla A1'!$B$46</f>
        <v>1.991728360764682</v>
      </c>
      <c r="E18" s="5">
        <f>'Tabla A1'!G28-'Tabla A1'!$G$18</f>
        <v>1.996135911826665</v>
      </c>
      <c r="F18" s="1">
        <f>(E18-D18)/'Tabla A1'!$B$46</f>
        <v>6.638783403612525</v>
      </c>
      <c r="G18" s="17">
        <f>IF(AND('Tabla A2'!C18&lt;=Auxiliar!$C$11,'Tabla A2'!C18&gt;=0),0.5*Informe!$D$24,IF(AND('Tabla A2'!C18&gt;Auxiliar!$C$11,'Tabla A2'!C18&lt;=Auxiliar!$C$12),Informe!$D$24,IF(AND('Tabla A2'!C18&gt;Auxiliar!$C$12,'Tabla A2'!C18&lt;=Auxiliar!$C$13),1.5*Informe!$D$24)))</f>
        <v>1.0499999999999998</v>
      </c>
      <c r="H18" s="69" t="str">
        <f t="shared" si="0"/>
        <v>desfavorable</v>
      </c>
      <c r="I18" s="99"/>
      <c r="J18" s="99"/>
      <c r="K18" s="99"/>
      <c r="L18" s="99"/>
      <c r="M18" s="99"/>
      <c r="N18" s="99"/>
      <c r="O18" s="99"/>
      <c r="P18" s="99"/>
      <c r="Q18" s="99"/>
      <c r="R18" s="99"/>
      <c r="S18" s="99"/>
      <c r="T18" s="99"/>
    </row>
    <row r="19" spans="1:20" ht="13.5" thickBot="1">
      <c r="A19" s="103"/>
      <c r="B19" s="224">
        <f>'Tabla A1'!B29</f>
        <v>61.7360625</v>
      </c>
      <c r="C19" s="201">
        <f>'Tabla A1'!C29</f>
        <v>6300</v>
      </c>
      <c r="D19" s="5">
        <f>(C19-$C$8)/($C$18-$C$8)*Informe!$D$19*'Tabla A1'!$B$46</f>
        <v>1.7925555246882139</v>
      </c>
      <c r="E19" s="5">
        <f>'Tabla A1'!G29-'Tabla A1'!$G$18</f>
        <v>1.7951232607010752</v>
      </c>
      <c r="F19" s="1">
        <f>(E19-D19)/'Tabla A1'!$B$46</f>
        <v>3.8675997140626377</v>
      </c>
      <c r="G19" s="17">
        <f>IF(AND('Tabla A2'!C19&lt;=Auxiliar!$C$11,'Tabla A2'!C19&gt;=0),0.5*Informe!$D$24,IF(AND('Tabla A2'!C19&gt;Auxiliar!$C$11,'Tabla A2'!C19&lt;=Auxiliar!$C$12),Informe!$D$24,IF(AND('Tabla A2'!C19&gt;Auxiliar!$C$12,'Tabla A2'!C19&lt;=Auxiliar!$C$13),1.5*Informe!$D$24)))</f>
        <v>1.0499999999999998</v>
      </c>
      <c r="H19" s="69" t="str">
        <f t="shared" si="0"/>
        <v>desfavorable</v>
      </c>
      <c r="I19" s="99"/>
      <c r="J19" s="99"/>
      <c r="K19" s="99"/>
      <c r="L19" s="99"/>
      <c r="M19" s="99"/>
      <c r="N19" s="99"/>
      <c r="O19" s="99"/>
      <c r="P19" s="99"/>
      <c r="Q19" s="99"/>
      <c r="R19" s="99"/>
      <c r="S19" s="99"/>
      <c r="T19" s="99"/>
    </row>
    <row r="20" spans="1:20" ht="13.5" thickBot="1">
      <c r="A20" s="103"/>
      <c r="B20" s="224">
        <f>'Tabla A1'!B30</f>
        <v>54.8765</v>
      </c>
      <c r="C20" s="201">
        <f>'Tabla A1'!C30</f>
        <v>5600</v>
      </c>
      <c r="D20" s="5">
        <f>(C20-$C$8)/($C$18-$C$8)*Informe!$D$19*'Tabla A1'!$B$46</f>
        <v>1.5933826886117457</v>
      </c>
      <c r="E20" s="5">
        <f>'Tabla A1'!G30-'Tabla A1'!$G$18</f>
        <v>1.5941465313080698</v>
      </c>
      <c r="F20" s="1">
        <f>(E20-D20)/'Tabla A1'!$B$46</f>
        <v>1.1505223975886893</v>
      </c>
      <c r="G20" s="17">
        <f>IF(AND('Tabla A2'!C20&lt;=Auxiliar!$C$11,'Tabla A2'!C20&gt;=0),0.5*Informe!$D$24,IF(AND('Tabla A2'!C20&gt;Auxiliar!$C$11,'Tabla A2'!C20&lt;=Auxiliar!$C$12),Informe!$D$24,IF(AND('Tabla A2'!C20&gt;Auxiliar!$C$12,'Tabla A2'!C20&lt;=Auxiliar!$C$13),1.5*Informe!$D$24)))</f>
        <v>1.0499999999999998</v>
      </c>
      <c r="H20" s="69" t="str">
        <f t="shared" si="0"/>
        <v>desfavorable</v>
      </c>
      <c r="I20" s="99"/>
      <c r="J20" s="99"/>
      <c r="K20" s="99"/>
      <c r="L20" s="99"/>
      <c r="M20" s="99"/>
      <c r="N20" s="99"/>
      <c r="O20" s="99"/>
      <c r="P20" s="99"/>
      <c r="Q20" s="99"/>
      <c r="R20" s="99"/>
      <c r="S20" s="99"/>
      <c r="T20" s="99"/>
    </row>
    <row r="21" spans="1:20" ht="13.5" thickBot="1">
      <c r="A21" s="103"/>
      <c r="B21" s="224">
        <f>'Tabla A1'!B31</f>
        <v>48.0169375</v>
      </c>
      <c r="C21" s="201">
        <f>'Tabla A1'!C31</f>
        <v>4900</v>
      </c>
      <c r="D21" s="5">
        <f>(C21-$C$8)/($C$18-$C$8)*Informe!$D$19*'Tabla A1'!$B$46</f>
        <v>1.3942098525352775</v>
      </c>
      <c r="E21" s="5">
        <f>'Tabla A1'!G31-'Tabla A1'!$G$18</f>
        <v>1.393173338457321</v>
      </c>
      <c r="F21" s="1">
        <f>(E21-D21)/'Tabla A1'!$B$46</f>
        <v>-1.5612280746334033</v>
      </c>
      <c r="G21" s="17">
        <f>IF(AND('Tabla A2'!C21&lt;=Auxiliar!$C$11,'Tabla A2'!C21&gt;=0),0.5*Informe!$D$24,IF(AND('Tabla A2'!C21&gt;Auxiliar!$C$11,'Tabla A2'!C21&lt;=Auxiliar!$C$12),Informe!$D$24,IF(AND('Tabla A2'!C21&gt;Auxiliar!$C$12,'Tabla A2'!C21&lt;=Auxiliar!$C$13),1.5*Informe!$D$24)))</f>
        <v>1.0499999999999998</v>
      </c>
      <c r="H21" s="69" t="str">
        <f t="shared" si="0"/>
        <v>desfavorable</v>
      </c>
      <c r="I21" s="99"/>
      <c r="J21" s="99"/>
      <c r="K21" s="99"/>
      <c r="L21" s="99"/>
      <c r="M21" s="99"/>
      <c r="N21" s="99"/>
      <c r="O21" s="99"/>
      <c r="P21" s="99"/>
      <c r="Q21" s="99"/>
      <c r="R21" s="99"/>
      <c r="S21" s="99"/>
      <c r="T21" s="99"/>
    </row>
    <row r="22" spans="1:20" ht="13.5" thickBot="1">
      <c r="A22" s="103"/>
      <c r="B22" s="224">
        <f>'Tabla A1'!B32</f>
        <v>41.157375</v>
      </c>
      <c r="C22" s="201">
        <f>'Tabla A1'!C32</f>
        <v>4200</v>
      </c>
      <c r="D22" s="5">
        <f>(C22-$C$8)/($C$18-$C$8)*Informe!$D$19*'Tabla A1'!$B$46</f>
        <v>1.1950370164588093</v>
      </c>
      <c r="E22" s="5">
        <f>'Tabla A1'!G32-'Tabla A1'!$G$18</f>
        <v>1.1923532898072153</v>
      </c>
      <c r="F22" s="1">
        <f>(E22-D22)/'Tabla A1'!$B$46</f>
        <v>-4.042308235090308</v>
      </c>
      <c r="G22" s="17">
        <f>IF(AND('Tabla A2'!C22&lt;=Auxiliar!$C$11,'Tabla A2'!C22&gt;=0),0.5*Informe!$D$24,IF(AND('Tabla A2'!C22&gt;Auxiliar!$C$11,'Tabla A2'!C22&lt;=Auxiliar!$C$12),Informe!$D$24,IF(AND('Tabla A2'!C22&gt;Auxiliar!$C$12,'Tabla A2'!C22&lt;=Auxiliar!$C$13),1.5*Informe!$D$24)))</f>
        <v>0.7</v>
      </c>
      <c r="H22" s="69" t="str">
        <f t="shared" si="0"/>
        <v>desfavorable</v>
      </c>
      <c r="I22" s="99"/>
      <c r="J22" s="99"/>
      <c r="K22" s="99"/>
      <c r="L22" s="99"/>
      <c r="M22" s="99"/>
      <c r="N22" s="99"/>
      <c r="O22" s="99"/>
      <c r="P22" s="99"/>
      <c r="Q22" s="99"/>
      <c r="R22" s="99"/>
      <c r="S22" s="99"/>
      <c r="T22" s="99"/>
    </row>
    <row r="23" spans="1:20" ht="13.5" thickBot="1">
      <c r="A23" s="103"/>
      <c r="B23" s="224">
        <f>'Tabla A1'!B33</f>
        <v>34.2978125</v>
      </c>
      <c r="C23" s="201">
        <f>'Tabla A1'!C33</f>
        <v>3500</v>
      </c>
      <c r="D23" s="5">
        <f>(C23-$C$8)/($C$18-$C$8)*Informe!$D$19*'Tabla A1'!$B$46</f>
        <v>0.995864180382341</v>
      </c>
      <c r="E23" s="5">
        <f>'Tabla A1'!G33-'Tabla A1'!$G$18</f>
        <v>0.9915166909340769</v>
      </c>
      <c r="F23" s="1">
        <f>(E23-D23)/'Tabla A1'!$B$46</f>
        <v>-6.5483168296027126</v>
      </c>
      <c r="G23" s="17">
        <f>IF(AND('Tabla A2'!C23&lt;=Auxiliar!$C$11,'Tabla A2'!C23&gt;=0),0.5*Informe!$D$24,IF(AND('Tabla A2'!C23&gt;Auxiliar!$C$11,'Tabla A2'!C23&lt;=Auxiliar!$C$12),Informe!$D$24,IF(AND('Tabla A2'!C23&gt;Auxiliar!$C$12,'Tabla A2'!C23&lt;=Auxiliar!$C$13),1.5*Informe!$D$24)))</f>
        <v>0.7</v>
      </c>
      <c r="H23" s="69" t="str">
        <f t="shared" si="0"/>
        <v>desfavorable</v>
      </c>
      <c r="I23" s="99"/>
      <c r="J23" s="99"/>
      <c r="K23" s="99"/>
      <c r="L23" s="99"/>
      <c r="M23" s="99"/>
      <c r="N23" s="99"/>
      <c r="O23" s="99"/>
      <c r="P23" s="99"/>
      <c r="Q23" s="99"/>
      <c r="R23" s="99"/>
      <c r="S23" s="99"/>
      <c r="T23" s="99"/>
    </row>
    <row r="24" spans="1:20" ht="13.5" thickBot="1">
      <c r="A24" s="103"/>
      <c r="B24" s="224">
        <f>'Tabla A1'!B34</f>
        <v>27.43825</v>
      </c>
      <c r="C24" s="201">
        <f>'Tabla A1'!C34</f>
        <v>2800</v>
      </c>
      <c r="D24" s="5">
        <f>(C24-$C$8)/($C$18-$C$8)*Informe!$D$19*'Tabla A1'!$B$46</f>
        <v>0.7966913443058729</v>
      </c>
      <c r="E24" s="5">
        <f>'Tabla A1'!G34-'Tabla A1'!$G$18</f>
        <v>0.7907099738561859</v>
      </c>
      <c r="F24" s="1">
        <f>(E24-D24)/'Tabla A1'!$B$46</f>
        <v>-9.009316582795234</v>
      </c>
      <c r="G24" s="17">
        <f>IF(AND('Tabla A2'!C24&lt;=Auxiliar!$C$11,'Tabla A2'!C24&gt;=0),0.5*Informe!$D$24,IF(AND('Tabla A2'!C24&gt;Auxiliar!$C$11,'Tabla A2'!C24&lt;=Auxiliar!$C$12),Informe!$D$24,IF(AND('Tabla A2'!C24&gt;Auxiliar!$C$12,'Tabla A2'!C24&lt;=Auxiliar!$C$13),1.5*Informe!$D$24)))</f>
        <v>0.7</v>
      </c>
      <c r="H24" s="69" t="str">
        <f t="shared" si="0"/>
        <v>desfavorable</v>
      </c>
      <c r="I24" s="99"/>
      <c r="J24" s="99"/>
      <c r="K24" s="99"/>
      <c r="L24" s="99"/>
      <c r="M24" s="99"/>
      <c r="N24" s="99"/>
      <c r="O24" s="99"/>
      <c r="P24" s="99"/>
      <c r="Q24" s="99"/>
      <c r="R24" s="99"/>
      <c r="S24" s="99"/>
      <c r="T24" s="99"/>
    </row>
    <row r="25" spans="1:20" ht="13.5" thickBot="1">
      <c r="A25" s="103"/>
      <c r="B25" s="224">
        <f>'Tabla A1'!B35</f>
        <v>20.5786875</v>
      </c>
      <c r="C25" s="201">
        <f>'Tabla A1'!C35</f>
        <v>2100</v>
      </c>
      <c r="D25" s="5">
        <f>(C25-$C$8)/($C$18-$C$8)*Informe!$D$19*'Tabla A1'!$B$46</f>
        <v>0.5975185082294047</v>
      </c>
      <c r="E25" s="5">
        <f>'Tabla A1'!G35-'Tabla A1'!$G$18</f>
        <v>0.5899500265562286</v>
      </c>
      <c r="F25" s="1">
        <f>(E25-D25)/'Tabla A1'!$B$46</f>
        <v>-11.399870317060111</v>
      </c>
      <c r="G25" s="17">
        <f>IF(AND('Tabla A2'!C25&lt;=Auxiliar!$C$11,'Tabla A2'!C25&gt;=0),0.5*Informe!$D$24,IF(AND('Tabla A2'!C25&gt;Auxiliar!$C$11,'Tabla A2'!C25&lt;=Auxiliar!$C$12),Informe!$D$24,IF(AND('Tabla A2'!C25&gt;Auxiliar!$C$12,'Tabla A2'!C25&lt;=Auxiliar!$C$13),1.5*Informe!$D$24)))</f>
        <v>0.7</v>
      </c>
      <c r="H25" s="69" t="str">
        <f t="shared" si="0"/>
        <v>desfavorable</v>
      </c>
      <c r="I25" s="99"/>
      <c r="J25" s="99"/>
      <c r="K25" s="99"/>
      <c r="L25" s="99"/>
      <c r="M25" s="99"/>
      <c r="N25" s="99"/>
      <c r="O25" s="99"/>
      <c r="P25" s="99"/>
      <c r="Q25" s="99"/>
      <c r="R25" s="99"/>
      <c r="S25" s="99"/>
      <c r="T25" s="99"/>
    </row>
    <row r="26" spans="1:20" ht="13.5" thickBot="1">
      <c r="A26" s="103"/>
      <c r="B26" s="224">
        <f>'Tabla A1'!B36</f>
        <v>13.719125</v>
      </c>
      <c r="C26" s="201">
        <f>'Tabla A1'!C36</f>
        <v>1400</v>
      </c>
      <c r="D26" s="5">
        <f>(C26-$C$8)/($C$18-$C$8)*Informe!$D$19*'Tabla A1'!$B$46</f>
        <v>0.3983456721529364</v>
      </c>
      <c r="E26" s="5">
        <f>'Tabla A1'!G36-'Tabla A1'!$G$18</f>
        <v>0.3895288819912821</v>
      </c>
      <c r="F26" s="1">
        <f>(E26-D26)/'Tabla A1'!$B$46</f>
        <v>-13.280109379377365</v>
      </c>
      <c r="G26" s="17">
        <f>IF(AND('Tabla A2'!C26&lt;=Auxiliar!$C$11,'Tabla A2'!C26&gt;=0),0.5*Informe!$D$24,IF(AND('Tabla A2'!C26&gt;Auxiliar!$C$11,'Tabla A2'!C26&lt;=Auxiliar!$C$12),Informe!$D$24,IF(AND('Tabla A2'!C26&gt;Auxiliar!$C$12,'Tabla A2'!C26&lt;=Auxiliar!$C$13),1.5*Informe!$D$24)))</f>
        <v>0.7</v>
      </c>
      <c r="H26" s="69" t="str">
        <f t="shared" si="0"/>
        <v>desfavorable</v>
      </c>
      <c r="I26" s="99"/>
      <c r="J26" s="99"/>
      <c r="K26" s="99"/>
      <c r="L26" s="99"/>
      <c r="M26" s="99"/>
      <c r="N26" s="99"/>
      <c r="O26" s="99"/>
      <c r="P26" s="99"/>
      <c r="Q26" s="99"/>
      <c r="R26" s="99"/>
      <c r="S26" s="99"/>
      <c r="T26" s="99"/>
    </row>
    <row r="27" spans="1:20" ht="13.5" thickBot="1">
      <c r="A27" s="103"/>
      <c r="B27" s="224">
        <f>'Tabla A1'!B37</f>
        <v>6.8595625</v>
      </c>
      <c r="C27" s="201">
        <f>'Tabla A1'!C37</f>
        <v>700</v>
      </c>
      <c r="D27" s="5">
        <f>(C27-$C$8)/($C$18-$C$8)*Informe!$D$19*'Tabla A1'!$B$46</f>
        <v>0.1991728360764682</v>
      </c>
      <c r="E27" s="5">
        <f>'Tabla A1'!G37-'Tabla A1'!$G$18</f>
        <v>0.19202999918100735</v>
      </c>
      <c r="F27" s="1">
        <f>(E27-D27)/'Tabla A1'!$B$46</f>
        <v>-10.758751599116431</v>
      </c>
      <c r="G27" s="17">
        <f>IF(AND('Tabla A2'!C27&lt;=Auxiliar!$C$11,'Tabla A2'!C27&gt;=0),0.5*Informe!$D$24,IF(AND('Tabla A2'!C27&gt;Auxiliar!$C$11,'Tabla A2'!C27&lt;=Auxiliar!$C$12),Informe!$D$24,IF(AND('Tabla A2'!C27&gt;Auxiliar!$C$12,'Tabla A2'!C27&lt;=Auxiliar!$C$13),1.5*Informe!$D$24)))</f>
        <v>0.35</v>
      </c>
      <c r="H27" s="69" t="str">
        <f t="shared" si="0"/>
        <v>desfavorable</v>
      </c>
      <c r="I27" s="99"/>
      <c r="J27" s="99"/>
      <c r="K27" s="99"/>
      <c r="L27" s="99"/>
      <c r="M27" s="99"/>
      <c r="N27" s="99"/>
      <c r="O27" s="99"/>
      <c r="P27" s="99"/>
      <c r="Q27" s="99"/>
      <c r="R27" s="99"/>
      <c r="S27" s="99"/>
      <c r="T27" s="99"/>
    </row>
    <row r="28" spans="1:20" ht="13.5" thickBot="1">
      <c r="A28" s="103"/>
      <c r="B28" s="224">
        <f>'Tabla A1'!B38</f>
        <v>0</v>
      </c>
      <c r="C28" s="201">
        <f>'Tabla A1'!C38</f>
        <v>0</v>
      </c>
      <c r="D28" s="70">
        <f>(C28-$C$8)/($C$18-$C$8)*Informe!$D$19*'Tabla A1'!$B$46</f>
        <v>0</v>
      </c>
      <c r="E28" s="70">
        <f>'Tabla A1'!G38-'Tabla A1'!$G$18</f>
        <v>-0.00024000000363836685</v>
      </c>
      <c r="F28" s="4">
        <f>(E28-D28)/'Tabla A1'!$B$46</f>
        <v>-0.36149508391730273</v>
      </c>
      <c r="G28" s="17">
        <f>IF(AND('Tabla A2'!C28&lt;=Auxiliar!$C$11,'Tabla A2'!C28&gt;=0),0.5*Informe!$D$24,IF(AND('Tabla A2'!C28&gt;Auxiliar!$C$11,'Tabla A2'!C28&lt;=Auxiliar!$C$12),Informe!$D$24,IF(AND('Tabla A2'!C28&gt;Auxiliar!$C$12,'Tabla A2'!C28&lt;=Auxiliar!$C$13),1.5*Informe!$D$24)))</f>
        <v>0.35</v>
      </c>
      <c r="H28" s="71" t="str">
        <f t="shared" si="0"/>
        <v>desfavorable</v>
      </c>
      <c r="I28" s="99"/>
      <c r="J28" s="99"/>
      <c r="K28" s="99"/>
      <c r="L28" s="99"/>
      <c r="M28" s="99"/>
      <c r="N28" s="99"/>
      <c r="O28" s="99"/>
      <c r="P28" s="99"/>
      <c r="Q28" s="99"/>
      <c r="R28" s="99"/>
      <c r="S28" s="99"/>
      <c r="T28" s="99"/>
    </row>
    <row r="29" spans="1:20" ht="12.75">
      <c r="A29" s="103"/>
      <c r="B29" s="103"/>
      <c r="C29" s="103"/>
      <c r="D29" s="103"/>
      <c r="E29" s="103"/>
      <c r="F29" s="103"/>
      <c r="G29" s="116"/>
      <c r="H29" s="103"/>
      <c r="I29" s="99"/>
      <c r="J29" s="99"/>
      <c r="K29" s="99"/>
      <c r="L29" s="99"/>
      <c r="M29" s="99"/>
      <c r="N29" s="99"/>
      <c r="O29" s="99"/>
      <c r="P29" s="99"/>
      <c r="Q29" s="99"/>
      <c r="R29" s="99"/>
      <c r="S29" s="99"/>
      <c r="T29" s="99"/>
    </row>
    <row r="30" spans="1:20" ht="14.25">
      <c r="A30" s="103"/>
      <c r="B30" s="123" t="s">
        <v>67</v>
      </c>
      <c r="C30" s="103"/>
      <c r="D30" s="103"/>
      <c r="E30" s="103"/>
      <c r="F30" s="103"/>
      <c r="G30" s="116"/>
      <c r="H30" s="103"/>
      <c r="I30" s="99"/>
      <c r="J30" s="99"/>
      <c r="K30" s="99"/>
      <c r="L30" s="99"/>
      <c r="M30" s="99"/>
      <c r="N30" s="99"/>
      <c r="O30" s="99"/>
      <c r="P30" s="99"/>
      <c r="Q30" s="99"/>
      <c r="R30" s="99"/>
      <c r="S30" s="99"/>
      <c r="T30" s="99"/>
    </row>
    <row r="31" spans="1:20" ht="12.75">
      <c r="A31" s="103"/>
      <c r="B31" s="103"/>
      <c r="C31" s="103"/>
      <c r="D31" s="103"/>
      <c r="E31" s="103"/>
      <c r="F31" s="103"/>
      <c r="G31" s="116"/>
      <c r="H31" s="103"/>
      <c r="I31" s="99"/>
      <c r="J31" s="99"/>
      <c r="K31" s="99"/>
      <c r="L31" s="99"/>
      <c r="M31" s="99"/>
      <c r="N31" s="99"/>
      <c r="O31" s="99"/>
      <c r="P31" s="99"/>
      <c r="Q31" s="99"/>
      <c r="R31" s="99"/>
      <c r="S31" s="99"/>
      <c r="T31" s="99"/>
    </row>
    <row r="32" spans="1:20" ht="12.75">
      <c r="A32" s="103"/>
      <c r="B32" s="103"/>
      <c r="C32" s="103"/>
      <c r="D32" s="103"/>
      <c r="E32" s="103"/>
      <c r="F32" s="103"/>
      <c r="G32" s="116"/>
      <c r="H32" s="103"/>
      <c r="I32" s="99"/>
      <c r="J32" s="99"/>
      <c r="K32" s="99"/>
      <c r="L32" s="99"/>
      <c r="M32" s="99"/>
      <c r="N32" s="99"/>
      <c r="O32" s="99"/>
      <c r="P32" s="99"/>
      <c r="Q32" s="99"/>
      <c r="R32" s="99"/>
      <c r="S32" s="99"/>
      <c r="T32" s="99"/>
    </row>
    <row r="33" spans="1:20" ht="12.75">
      <c r="A33" s="103"/>
      <c r="B33" s="103"/>
      <c r="C33" s="103"/>
      <c r="D33" s="103"/>
      <c r="E33" s="103"/>
      <c r="F33" s="103"/>
      <c r="G33" s="116"/>
      <c r="H33" s="103"/>
      <c r="I33" s="99"/>
      <c r="J33" s="99"/>
      <c r="K33" s="99"/>
      <c r="L33" s="99"/>
      <c r="M33" s="99"/>
      <c r="N33" s="99"/>
      <c r="O33" s="99"/>
      <c r="P33" s="99"/>
      <c r="Q33" s="99"/>
      <c r="R33" s="99"/>
      <c r="S33" s="99"/>
      <c r="T33" s="99"/>
    </row>
    <row r="34" spans="1:20" ht="12.75">
      <c r="A34" s="103"/>
      <c r="B34" s="103"/>
      <c r="C34" s="103"/>
      <c r="D34" s="103"/>
      <c r="E34" s="103"/>
      <c r="F34" s="103"/>
      <c r="G34" s="116"/>
      <c r="H34" s="103"/>
      <c r="I34" s="99"/>
      <c r="J34" s="99"/>
      <c r="K34" s="99"/>
      <c r="L34" s="99"/>
      <c r="M34" s="99"/>
      <c r="N34" s="99"/>
      <c r="O34" s="99"/>
      <c r="P34" s="99"/>
      <c r="Q34" s="99"/>
      <c r="R34" s="99"/>
      <c r="S34" s="99"/>
      <c r="T34" s="99"/>
    </row>
    <row r="35" spans="1:20" ht="12.75">
      <c r="A35" s="103"/>
      <c r="B35" s="103"/>
      <c r="C35" s="103"/>
      <c r="D35" s="103"/>
      <c r="E35" s="103"/>
      <c r="F35" s="103"/>
      <c r="G35" s="116"/>
      <c r="H35" s="103"/>
      <c r="I35" s="99"/>
      <c r="J35" s="99"/>
      <c r="K35" s="99"/>
      <c r="L35" s="99"/>
      <c r="M35" s="99"/>
      <c r="N35" s="99"/>
      <c r="O35" s="99"/>
      <c r="P35" s="99"/>
      <c r="Q35" s="99"/>
      <c r="R35" s="99"/>
      <c r="S35" s="99"/>
      <c r="T35" s="99"/>
    </row>
    <row r="36" spans="1:20" ht="12.75">
      <c r="A36" s="103"/>
      <c r="B36" s="103"/>
      <c r="C36" s="103"/>
      <c r="D36" s="103"/>
      <c r="E36" s="103"/>
      <c r="F36" s="103"/>
      <c r="G36" s="116"/>
      <c r="H36" s="103"/>
      <c r="I36" s="99"/>
      <c r="J36" s="99"/>
      <c r="K36" s="99"/>
      <c r="L36" s="99"/>
      <c r="M36" s="99"/>
      <c r="N36" s="99"/>
      <c r="O36" s="99"/>
      <c r="P36" s="99"/>
      <c r="Q36" s="99"/>
      <c r="R36" s="99"/>
      <c r="S36" s="99"/>
      <c r="T36" s="99"/>
    </row>
    <row r="37" spans="1:20" ht="12.75">
      <c r="A37" s="103"/>
      <c r="B37" s="103"/>
      <c r="C37" s="103"/>
      <c r="D37" s="103"/>
      <c r="E37" s="103"/>
      <c r="F37" s="103"/>
      <c r="G37" s="116"/>
      <c r="H37" s="103"/>
      <c r="I37" s="99"/>
      <c r="J37" s="99"/>
      <c r="K37" s="99"/>
      <c r="L37" s="99"/>
      <c r="M37" s="99"/>
      <c r="N37" s="99"/>
      <c r="O37" s="99"/>
      <c r="P37" s="99"/>
      <c r="Q37" s="99"/>
      <c r="R37" s="99"/>
      <c r="S37" s="99"/>
      <c r="T37" s="99"/>
    </row>
    <row r="38" spans="1:20" ht="12.75">
      <c r="A38" s="103"/>
      <c r="B38" s="103"/>
      <c r="C38" s="103"/>
      <c r="D38" s="103"/>
      <c r="E38" s="103"/>
      <c r="F38" s="103"/>
      <c r="G38" s="116"/>
      <c r="H38" s="103"/>
      <c r="I38" s="99"/>
      <c r="J38" s="99"/>
      <c r="K38" s="99"/>
      <c r="L38" s="99"/>
      <c r="M38" s="99"/>
      <c r="N38" s="99"/>
      <c r="O38" s="99"/>
      <c r="P38" s="99"/>
      <c r="Q38" s="99"/>
      <c r="R38" s="99"/>
      <c r="S38" s="99"/>
      <c r="T38" s="99"/>
    </row>
    <row r="39" spans="1:20" ht="12.75">
      <c r="A39" s="103"/>
      <c r="B39" s="103"/>
      <c r="C39" s="103"/>
      <c r="D39" s="103"/>
      <c r="E39" s="103"/>
      <c r="F39" s="103"/>
      <c r="G39" s="116"/>
      <c r="H39" s="103"/>
      <c r="I39" s="99"/>
      <c r="J39" s="99"/>
      <c r="K39" s="99"/>
      <c r="L39" s="99"/>
      <c r="M39" s="99"/>
      <c r="N39" s="99"/>
      <c r="O39" s="99"/>
      <c r="P39" s="99"/>
      <c r="Q39" s="99"/>
      <c r="R39" s="99"/>
      <c r="S39" s="99"/>
      <c r="T39" s="99"/>
    </row>
    <row r="40" spans="1:20" ht="12.75">
      <c r="A40" s="103"/>
      <c r="B40" s="103"/>
      <c r="C40" s="103"/>
      <c r="D40" s="103"/>
      <c r="E40" s="103"/>
      <c r="F40" s="103"/>
      <c r="G40" s="116"/>
      <c r="H40" s="103"/>
      <c r="I40" s="99"/>
      <c r="J40" s="99"/>
      <c r="K40" s="99"/>
      <c r="L40" s="99"/>
      <c r="M40" s="99"/>
      <c r="N40" s="99"/>
      <c r="O40" s="99"/>
      <c r="P40" s="99"/>
      <c r="Q40" s="99"/>
      <c r="R40" s="99"/>
      <c r="S40" s="99"/>
      <c r="T40" s="99"/>
    </row>
    <row r="41" spans="1:20" ht="12.75">
      <c r="A41" s="103"/>
      <c r="B41" s="103"/>
      <c r="C41" s="103"/>
      <c r="D41" s="103"/>
      <c r="E41" s="103"/>
      <c r="F41" s="103"/>
      <c r="G41" s="116"/>
      <c r="H41" s="103"/>
      <c r="I41" s="99"/>
      <c r="J41" s="99"/>
      <c r="K41" s="99"/>
      <c r="L41" s="99"/>
      <c r="M41" s="99"/>
      <c r="N41" s="99"/>
      <c r="O41" s="99"/>
      <c r="P41" s="99"/>
      <c r="Q41" s="99"/>
      <c r="R41" s="99"/>
      <c r="S41" s="99"/>
      <c r="T41" s="99"/>
    </row>
    <row r="42" spans="1:20" ht="12.75">
      <c r="A42" s="103"/>
      <c r="B42" s="103"/>
      <c r="C42" s="103"/>
      <c r="D42" s="103"/>
      <c r="E42" s="103"/>
      <c r="F42" s="103"/>
      <c r="G42" s="116"/>
      <c r="H42" s="103"/>
      <c r="I42" s="99"/>
      <c r="J42" s="99"/>
      <c r="K42" s="99"/>
      <c r="L42" s="99"/>
      <c r="M42" s="99"/>
      <c r="N42" s="99"/>
      <c r="O42" s="99"/>
      <c r="P42" s="99"/>
      <c r="Q42" s="99"/>
      <c r="R42" s="99"/>
      <c r="S42" s="99"/>
      <c r="T42" s="99"/>
    </row>
    <row r="43" spans="1:20" ht="12.75">
      <c r="A43" s="103"/>
      <c r="B43" s="103"/>
      <c r="C43" s="103"/>
      <c r="D43" s="103"/>
      <c r="E43" s="103"/>
      <c r="F43" s="103"/>
      <c r="G43" s="116"/>
      <c r="H43" s="103"/>
      <c r="I43" s="99"/>
      <c r="J43" s="99"/>
      <c r="K43" s="99"/>
      <c r="L43" s="99"/>
      <c r="M43" s="99"/>
      <c r="N43" s="99"/>
      <c r="O43" s="99"/>
      <c r="P43" s="99"/>
      <c r="Q43" s="99"/>
      <c r="R43" s="99"/>
      <c r="S43" s="99"/>
      <c r="T43" s="99"/>
    </row>
    <row r="44" spans="1:20" ht="12.75">
      <c r="A44" s="103"/>
      <c r="B44" s="103"/>
      <c r="C44" s="103"/>
      <c r="D44" s="103"/>
      <c r="E44" s="103"/>
      <c r="F44" s="103"/>
      <c r="G44" s="116"/>
      <c r="H44" s="103"/>
      <c r="I44" s="99"/>
      <c r="J44" s="99"/>
      <c r="K44" s="99"/>
      <c r="L44" s="99"/>
      <c r="M44" s="99"/>
      <c r="N44" s="99"/>
      <c r="O44" s="99"/>
      <c r="P44" s="99"/>
      <c r="Q44" s="99"/>
      <c r="R44" s="99"/>
      <c r="S44" s="99"/>
      <c r="T44" s="99"/>
    </row>
    <row r="45" spans="1:20" ht="12.75">
      <c r="A45" s="103"/>
      <c r="B45" s="103"/>
      <c r="C45" s="103"/>
      <c r="D45" s="103"/>
      <c r="E45" s="103"/>
      <c r="F45" s="103"/>
      <c r="G45" s="116"/>
      <c r="H45" s="103"/>
      <c r="I45" s="99"/>
      <c r="J45" s="99"/>
      <c r="K45" s="99"/>
      <c r="L45" s="99"/>
      <c r="M45" s="99"/>
      <c r="N45" s="99"/>
      <c r="O45" s="99"/>
      <c r="P45" s="99"/>
      <c r="Q45" s="99"/>
      <c r="R45" s="99"/>
      <c r="S45" s="99"/>
      <c r="T45" s="99"/>
    </row>
    <row r="46" spans="1:20" ht="12.75">
      <c r="A46" s="103"/>
      <c r="B46" s="103"/>
      <c r="C46" s="103"/>
      <c r="D46" s="103"/>
      <c r="E46" s="103"/>
      <c r="F46" s="103"/>
      <c r="G46" s="116"/>
      <c r="H46" s="103"/>
      <c r="I46" s="99"/>
      <c r="J46" s="99"/>
      <c r="K46" s="99"/>
      <c r="L46" s="99"/>
      <c r="M46" s="99"/>
      <c r="N46" s="99"/>
      <c r="O46" s="99"/>
      <c r="P46" s="99"/>
      <c r="Q46" s="99"/>
      <c r="R46" s="99"/>
      <c r="S46" s="99"/>
      <c r="T46" s="99"/>
    </row>
    <row r="47" spans="1:20" ht="12.75">
      <c r="A47" s="103"/>
      <c r="B47" s="103"/>
      <c r="C47" s="103"/>
      <c r="D47" s="103"/>
      <c r="E47" s="103"/>
      <c r="F47" s="103"/>
      <c r="G47" s="116"/>
      <c r="H47" s="103"/>
      <c r="I47" s="99"/>
      <c r="J47" s="99"/>
      <c r="K47" s="99"/>
      <c r="L47" s="99"/>
      <c r="M47" s="99"/>
      <c r="N47" s="99"/>
      <c r="O47" s="99"/>
      <c r="P47" s="99"/>
      <c r="Q47" s="99"/>
      <c r="R47" s="99"/>
      <c r="S47" s="99"/>
      <c r="T47" s="99"/>
    </row>
    <row r="48" spans="1:20" ht="12.75">
      <c r="A48" s="103"/>
      <c r="B48" s="103"/>
      <c r="C48" s="103"/>
      <c r="D48" s="103"/>
      <c r="E48" s="103"/>
      <c r="F48" s="103"/>
      <c r="G48" s="116"/>
      <c r="H48" s="103"/>
      <c r="I48" s="99"/>
      <c r="J48" s="99"/>
      <c r="K48" s="99"/>
      <c r="L48" s="99"/>
      <c r="M48" s="99"/>
      <c r="N48" s="99"/>
      <c r="O48" s="99"/>
      <c r="P48" s="99"/>
      <c r="Q48" s="99"/>
      <c r="R48" s="99"/>
      <c r="S48" s="99"/>
      <c r="T48" s="99"/>
    </row>
    <row r="49" spans="1:20" ht="12.75">
      <c r="A49" s="103"/>
      <c r="B49" s="103"/>
      <c r="C49" s="103"/>
      <c r="D49" s="103"/>
      <c r="E49" s="103"/>
      <c r="F49" s="103"/>
      <c r="G49" s="116"/>
      <c r="H49" s="103"/>
      <c r="I49" s="99"/>
      <c r="J49" s="99"/>
      <c r="K49" s="99"/>
      <c r="L49" s="99"/>
      <c r="M49" s="99"/>
      <c r="N49" s="99"/>
      <c r="O49" s="99"/>
      <c r="P49" s="99"/>
      <c r="Q49" s="99"/>
      <c r="R49" s="99"/>
      <c r="S49" s="99"/>
      <c r="T49" s="99"/>
    </row>
    <row r="50" spans="1:20" ht="12.75">
      <c r="A50" s="103"/>
      <c r="B50" s="103"/>
      <c r="C50" s="103"/>
      <c r="D50" s="103"/>
      <c r="E50" s="103"/>
      <c r="F50" s="103"/>
      <c r="G50" s="116"/>
      <c r="H50" s="103"/>
      <c r="I50" s="99"/>
      <c r="J50" s="99"/>
      <c r="K50" s="99"/>
      <c r="L50" s="99"/>
      <c r="M50" s="99"/>
      <c r="N50" s="99"/>
      <c r="O50" s="99"/>
      <c r="P50" s="99"/>
      <c r="Q50" s="99"/>
      <c r="R50" s="99"/>
      <c r="S50" s="99"/>
      <c r="T50" s="99"/>
    </row>
    <row r="51" spans="1:20" ht="12.75">
      <c r="A51" s="103"/>
      <c r="B51" s="103"/>
      <c r="C51" s="103"/>
      <c r="D51" s="103"/>
      <c r="E51" s="103"/>
      <c r="F51" s="103"/>
      <c r="G51" s="116"/>
      <c r="H51" s="103"/>
      <c r="I51" s="99"/>
      <c r="J51" s="99"/>
      <c r="K51" s="99"/>
      <c r="L51" s="99"/>
      <c r="M51" s="99"/>
      <c r="N51" s="99"/>
      <c r="O51" s="99"/>
      <c r="P51" s="99"/>
      <c r="Q51" s="99"/>
      <c r="R51" s="99"/>
      <c r="S51" s="99"/>
      <c r="T51" s="99"/>
    </row>
    <row r="52" spans="1:20" ht="12.75">
      <c r="A52" s="103"/>
      <c r="B52" s="103"/>
      <c r="C52" s="103"/>
      <c r="D52" s="103"/>
      <c r="E52" s="103"/>
      <c r="F52" s="103"/>
      <c r="G52" s="116"/>
      <c r="H52" s="103"/>
      <c r="I52" s="99"/>
      <c r="J52" s="99"/>
      <c r="K52" s="99"/>
      <c r="L52" s="99"/>
      <c r="M52" s="99"/>
      <c r="N52" s="99"/>
      <c r="O52" s="99"/>
      <c r="P52" s="99"/>
      <c r="Q52" s="99"/>
      <c r="R52" s="99"/>
      <c r="S52" s="99"/>
      <c r="T52" s="99"/>
    </row>
    <row r="53" spans="1:20" ht="12.75">
      <c r="A53" s="103"/>
      <c r="B53" s="103"/>
      <c r="C53" s="103"/>
      <c r="D53" s="103"/>
      <c r="E53" s="103"/>
      <c r="F53" s="103"/>
      <c r="G53" s="116"/>
      <c r="H53" s="103"/>
      <c r="I53" s="99"/>
      <c r="J53" s="99"/>
      <c r="K53" s="99"/>
      <c r="L53" s="99"/>
      <c r="M53" s="99"/>
      <c r="N53" s="99"/>
      <c r="O53" s="99"/>
      <c r="P53" s="99"/>
      <c r="Q53" s="99"/>
      <c r="R53" s="99"/>
      <c r="S53" s="99"/>
      <c r="T53" s="99"/>
    </row>
    <row r="54" spans="1:20" ht="12.75">
      <c r="A54" s="99"/>
      <c r="B54" s="99"/>
      <c r="C54" s="99"/>
      <c r="D54" s="99"/>
      <c r="E54" s="99"/>
      <c r="F54" s="99"/>
      <c r="G54" s="100"/>
      <c r="H54" s="99"/>
      <c r="I54" s="99"/>
      <c r="J54" s="99"/>
      <c r="K54" s="99"/>
      <c r="L54" s="99"/>
      <c r="M54" s="99"/>
      <c r="N54" s="99"/>
      <c r="O54" s="99"/>
      <c r="P54" s="99"/>
      <c r="Q54" s="99"/>
      <c r="R54" s="99"/>
      <c r="S54" s="99"/>
      <c r="T54" s="99"/>
    </row>
    <row r="55" spans="1:20" ht="12.75">
      <c r="A55" s="99"/>
      <c r="B55" s="99"/>
      <c r="C55" s="99"/>
      <c r="D55" s="99"/>
      <c r="E55" s="99"/>
      <c r="F55" s="99"/>
      <c r="G55" s="100"/>
      <c r="H55" s="99"/>
      <c r="I55" s="99"/>
      <c r="J55" s="99"/>
      <c r="K55" s="99"/>
      <c r="L55" s="99"/>
      <c r="M55" s="99"/>
      <c r="N55" s="99"/>
      <c r="O55" s="99"/>
      <c r="P55" s="99"/>
      <c r="Q55" s="99"/>
      <c r="R55" s="99"/>
      <c r="S55" s="99"/>
      <c r="T55" s="99"/>
    </row>
    <row r="56" spans="1:20" ht="12.75">
      <c r="A56" s="99"/>
      <c r="B56" s="99"/>
      <c r="C56" s="99"/>
      <c r="D56" s="99"/>
      <c r="E56" s="99"/>
      <c r="F56" s="99"/>
      <c r="G56" s="100"/>
      <c r="H56" s="99"/>
      <c r="I56" s="99"/>
      <c r="J56" s="99"/>
      <c r="K56" s="99"/>
      <c r="L56" s="99"/>
      <c r="M56" s="99"/>
      <c r="N56" s="99"/>
      <c r="O56" s="99"/>
      <c r="P56" s="99"/>
      <c r="Q56" s="99"/>
      <c r="R56" s="99"/>
      <c r="S56" s="99"/>
      <c r="T56" s="99"/>
    </row>
    <row r="57" spans="1:20" ht="12.75">
      <c r="A57" s="99"/>
      <c r="B57" s="99"/>
      <c r="C57" s="99"/>
      <c r="D57" s="99"/>
      <c r="E57" s="99"/>
      <c r="F57" s="99"/>
      <c r="G57" s="100"/>
      <c r="H57" s="99"/>
      <c r="I57" s="99"/>
      <c r="J57" s="99"/>
      <c r="K57" s="99"/>
      <c r="L57" s="99"/>
      <c r="M57" s="99"/>
      <c r="N57" s="99"/>
      <c r="O57" s="99"/>
      <c r="P57" s="99"/>
      <c r="Q57" s="99"/>
      <c r="R57" s="99"/>
      <c r="S57" s="99"/>
      <c r="T57" s="99"/>
    </row>
    <row r="58" spans="1:20" ht="12.75">
      <c r="A58" s="99"/>
      <c r="B58" s="99"/>
      <c r="C58" s="99"/>
      <c r="D58" s="99"/>
      <c r="E58" s="99"/>
      <c r="F58" s="99"/>
      <c r="G58" s="100"/>
      <c r="H58" s="99"/>
      <c r="I58" s="99"/>
      <c r="J58" s="99"/>
      <c r="K58" s="99"/>
      <c r="L58" s="99"/>
      <c r="M58" s="99"/>
      <c r="N58" s="99"/>
      <c r="O58" s="99"/>
      <c r="P58" s="99"/>
      <c r="Q58" s="99"/>
      <c r="R58" s="99"/>
      <c r="S58" s="99"/>
      <c r="T58" s="99"/>
    </row>
    <row r="59" spans="1:20" ht="12.75">
      <c r="A59" s="99"/>
      <c r="B59" s="99"/>
      <c r="C59" s="99"/>
      <c r="D59" s="99"/>
      <c r="E59" s="99"/>
      <c r="F59" s="99"/>
      <c r="G59" s="100"/>
      <c r="H59" s="99"/>
      <c r="I59" s="99"/>
      <c r="J59" s="99"/>
      <c r="K59" s="99"/>
      <c r="L59" s="99"/>
      <c r="M59" s="99"/>
      <c r="N59" s="99"/>
      <c r="O59" s="99"/>
      <c r="P59" s="99"/>
      <c r="Q59" s="99"/>
      <c r="R59" s="99"/>
      <c r="S59" s="99"/>
      <c r="T59" s="99"/>
    </row>
    <row r="60" spans="1:20" ht="12.75">
      <c r="A60" s="99"/>
      <c r="B60" s="99"/>
      <c r="C60" s="99"/>
      <c r="D60" s="99"/>
      <c r="E60" s="99"/>
      <c r="F60" s="99"/>
      <c r="G60" s="100"/>
      <c r="H60" s="99"/>
      <c r="I60" s="99"/>
      <c r="J60" s="99"/>
      <c r="K60" s="99"/>
      <c r="L60" s="99"/>
      <c r="M60" s="99"/>
      <c r="N60" s="99"/>
      <c r="O60" s="99"/>
      <c r="P60" s="99"/>
      <c r="Q60" s="99"/>
      <c r="R60" s="99"/>
      <c r="S60" s="99"/>
      <c r="T60" s="99"/>
    </row>
    <row r="61" spans="1:20" ht="12.75">
      <c r="A61" s="99"/>
      <c r="B61" s="99"/>
      <c r="C61" s="99"/>
      <c r="D61" s="99"/>
      <c r="E61" s="99"/>
      <c r="F61" s="99"/>
      <c r="G61" s="100"/>
      <c r="H61" s="99"/>
      <c r="I61" s="99"/>
      <c r="J61" s="99"/>
      <c r="K61" s="99"/>
      <c r="L61" s="99"/>
      <c r="M61" s="99"/>
      <c r="N61" s="99"/>
      <c r="O61" s="99"/>
      <c r="P61" s="99"/>
      <c r="Q61" s="99"/>
      <c r="R61" s="99"/>
      <c r="S61" s="99"/>
      <c r="T61" s="99"/>
    </row>
    <row r="62" spans="1:20" ht="12.75">
      <c r="A62" s="99"/>
      <c r="B62" s="99"/>
      <c r="C62" s="99"/>
      <c r="D62" s="99"/>
      <c r="E62" s="99"/>
      <c r="F62" s="99"/>
      <c r="G62" s="100"/>
      <c r="H62" s="99"/>
      <c r="I62" s="99"/>
      <c r="J62" s="99"/>
      <c r="K62" s="99"/>
      <c r="L62" s="99"/>
      <c r="M62" s="99"/>
      <c r="N62" s="99"/>
      <c r="O62" s="99"/>
      <c r="P62" s="99"/>
      <c r="Q62" s="99"/>
      <c r="R62" s="99"/>
      <c r="S62" s="99"/>
      <c r="T62" s="99"/>
    </row>
    <row r="63" spans="1:20" ht="12.75">
      <c r="A63" s="99"/>
      <c r="B63" s="99"/>
      <c r="C63" s="99"/>
      <c r="D63" s="99"/>
      <c r="E63" s="99"/>
      <c r="F63" s="99"/>
      <c r="G63" s="100"/>
      <c r="H63" s="99"/>
      <c r="I63" s="99"/>
      <c r="J63" s="99"/>
      <c r="K63" s="99"/>
      <c r="L63" s="99"/>
      <c r="M63" s="99"/>
      <c r="N63" s="99"/>
      <c r="O63" s="99"/>
      <c r="P63" s="99"/>
      <c r="Q63" s="99"/>
      <c r="R63" s="99"/>
      <c r="S63" s="99"/>
      <c r="T63" s="99"/>
    </row>
    <row r="64" spans="1:20" ht="12.75">
      <c r="A64" s="99"/>
      <c r="B64" s="99"/>
      <c r="C64" s="99"/>
      <c r="D64" s="99"/>
      <c r="E64" s="99"/>
      <c r="F64" s="99"/>
      <c r="G64" s="100"/>
      <c r="H64" s="99"/>
      <c r="I64" s="99"/>
      <c r="J64" s="99"/>
      <c r="K64" s="99"/>
      <c r="L64" s="99"/>
      <c r="M64" s="99"/>
      <c r="N64" s="99"/>
      <c r="O64" s="99"/>
      <c r="P64" s="99"/>
      <c r="Q64" s="99"/>
      <c r="R64" s="99"/>
      <c r="S64" s="99"/>
      <c r="T64" s="99"/>
    </row>
    <row r="65" spans="1:20" ht="12.75">
      <c r="A65" s="99"/>
      <c r="B65" s="99"/>
      <c r="C65" s="99"/>
      <c r="D65" s="99"/>
      <c r="E65" s="99"/>
      <c r="F65" s="99"/>
      <c r="G65" s="100"/>
      <c r="H65" s="99"/>
      <c r="I65" s="99"/>
      <c r="J65" s="99"/>
      <c r="K65" s="99"/>
      <c r="L65" s="99"/>
      <c r="M65" s="99"/>
      <c r="N65" s="99"/>
      <c r="O65" s="99"/>
      <c r="P65" s="99"/>
      <c r="Q65" s="99"/>
      <c r="R65" s="99"/>
      <c r="S65" s="99"/>
      <c r="T65" s="99"/>
    </row>
    <row r="66" spans="1:20" ht="12.75">
      <c r="A66" s="99"/>
      <c r="B66" s="99"/>
      <c r="C66" s="99"/>
      <c r="D66" s="99"/>
      <c r="E66" s="99"/>
      <c r="F66" s="99"/>
      <c r="G66" s="100"/>
      <c r="H66" s="99"/>
      <c r="I66" s="99"/>
      <c r="J66" s="99"/>
      <c r="K66" s="99"/>
      <c r="L66" s="99"/>
      <c r="M66" s="99"/>
      <c r="N66" s="99"/>
      <c r="O66" s="99"/>
      <c r="P66" s="99"/>
      <c r="Q66" s="99"/>
      <c r="R66" s="99"/>
      <c r="S66" s="99"/>
      <c r="T66" s="99"/>
    </row>
    <row r="67" spans="1:20" ht="12.75">
      <c r="A67" s="99"/>
      <c r="B67" s="99"/>
      <c r="C67" s="99"/>
      <c r="D67" s="99"/>
      <c r="E67" s="99"/>
      <c r="F67" s="99"/>
      <c r="G67" s="100"/>
      <c r="H67" s="99"/>
      <c r="I67" s="99"/>
      <c r="J67" s="99"/>
      <c r="K67" s="99"/>
      <c r="L67" s="99"/>
      <c r="M67" s="99"/>
      <c r="N67" s="99"/>
      <c r="O67" s="99"/>
      <c r="P67" s="99"/>
      <c r="Q67" s="99"/>
      <c r="R67" s="99"/>
      <c r="S67" s="99"/>
      <c r="T67" s="99"/>
    </row>
    <row r="68" spans="1:20" ht="12.75">
      <c r="A68" s="99"/>
      <c r="B68" s="99"/>
      <c r="C68" s="99"/>
      <c r="D68" s="99"/>
      <c r="E68" s="99"/>
      <c r="F68" s="99"/>
      <c r="G68" s="100"/>
      <c r="H68" s="99"/>
      <c r="I68" s="99"/>
      <c r="J68" s="99"/>
      <c r="K68" s="99"/>
      <c r="L68" s="99"/>
      <c r="M68" s="99"/>
      <c r="N68" s="99"/>
      <c r="O68" s="99"/>
      <c r="P68" s="99"/>
      <c r="Q68" s="99"/>
      <c r="R68" s="99"/>
      <c r="S68" s="99"/>
      <c r="T68" s="99"/>
    </row>
    <row r="69" spans="1:20" ht="12.75">
      <c r="A69" s="99"/>
      <c r="B69" s="99"/>
      <c r="C69" s="99"/>
      <c r="D69" s="99"/>
      <c r="E69" s="99"/>
      <c r="F69" s="99"/>
      <c r="G69" s="100"/>
      <c r="H69" s="99"/>
      <c r="I69" s="99"/>
      <c r="J69" s="99"/>
      <c r="K69" s="99"/>
      <c r="L69" s="99"/>
      <c r="M69" s="99"/>
      <c r="N69" s="99"/>
      <c r="O69" s="99"/>
      <c r="P69" s="99"/>
      <c r="Q69" s="99"/>
      <c r="R69" s="99"/>
      <c r="S69" s="99"/>
      <c r="T69" s="99"/>
    </row>
    <row r="70" spans="1:20" ht="12.75">
      <c r="A70" s="99"/>
      <c r="B70" s="99"/>
      <c r="C70" s="99"/>
      <c r="D70" s="99"/>
      <c r="E70" s="99"/>
      <c r="F70" s="99"/>
      <c r="G70" s="100"/>
      <c r="H70" s="99"/>
      <c r="I70" s="99"/>
      <c r="J70" s="99"/>
      <c r="K70" s="99"/>
      <c r="L70" s="99"/>
      <c r="M70" s="99"/>
      <c r="N70" s="99"/>
      <c r="O70" s="99"/>
      <c r="P70" s="99"/>
      <c r="Q70" s="99"/>
      <c r="R70" s="99"/>
      <c r="S70" s="99"/>
      <c r="T70" s="99"/>
    </row>
    <row r="71" spans="1:20" ht="12.75">
      <c r="A71" s="99"/>
      <c r="B71" s="99"/>
      <c r="C71" s="99"/>
      <c r="D71" s="99"/>
      <c r="E71" s="99"/>
      <c r="F71" s="99"/>
      <c r="G71" s="100"/>
      <c r="H71" s="99"/>
      <c r="I71" s="99"/>
      <c r="J71" s="99"/>
      <c r="K71" s="99"/>
      <c r="L71" s="99"/>
      <c r="M71" s="99"/>
      <c r="N71" s="99"/>
      <c r="O71" s="99"/>
      <c r="P71" s="99"/>
      <c r="Q71" s="99"/>
      <c r="R71" s="99"/>
      <c r="S71" s="99"/>
      <c r="T71" s="99"/>
    </row>
    <row r="72" spans="1:20" ht="12.75">
      <c r="A72" s="99"/>
      <c r="B72" s="99"/>
      <c r="C72" s="99"/>
      <c r="D72" s="99"/>
      <c r="E72" s="99"/>
      <c r="F72" s="99"/>
      <c r="G72" s="100"/>
      <c r="H72" s="99"/>
      <c r="I72" s="99"/>
      <c r="J72" s="99"/>
      <c r="K72" s="99"/>
      <c r="L72" s="99"/>
      <c r="M72" s="99"/>
      <c r="N72" s="99"/>
      <c r="O72" s="99"/>
      <c r="P72" s="99"/>
      <c r="Q72" s="99"/>
      <c r="R72" s="99"/>
      <c r="S72" s="99"/>
      <c r="T72" s="99"/>
    </row>
    <row r="73" spans="1:20" ht="12.75">
      <c r="A73" s="99"/>
      <c r="B73" s="99"/>
      <c r="C73" s="99"/>
      <c r="D73" s="99"/>
      <c r="E73" s="99"/>
      <c r="F73" s="99"/>
      <c r="G73" s="100"/>
      <c r="H73" s="99"/>
      <c r="I73" s="99"/>
      <c r="J73" s="99"/>
      <c r="K73" s="99"/>
      <c r="L73" s="99"/>
      <c r="M73" s="99"/>
      <c r="N73" s="99"/>
      <c r="O73" s="99"/>
      <c r="P73" s="99"/>
      <c r="Q73" s="99"/>
      <c r="R73" s="99"/>
      <c r="S73" s="99"/>
      <c r="T73" s="99"/>
    </row>
    <row r="74" spans="1:20" ht="12.75">
      <c r="A74" s="99"/>
      <c r="B74" s="99"/>
      <c r="C74" s="99"/>
      <c r="D74" s="99"/>
      <c r="E74" s="99"/>
      <c r="F74" s="99"/>
      <c r="G74" s="100"/>
      <c r="H74" s="99"/>
      <c r="I74" s="99"/>
      <c r="J74" s="99"/>
      <c r="K74" s="99"/>
      <c r="L74" s="99"/>
      <c r="M74" s="99"/>
      <c r="N74" s="99"/>
      <c r="O74" s="99"/>
      <c r="P74" s="99"/>
      <c r="Q74" s="99"/>
      <c r="R74" s="99"/>
      <c r="S74" s="99"/>
      <c r="T74" s="99"/>
    </row>
    <row r="75" spans="1:20" ht="12.75">
      <c r="A75" s="99"/>
      <c r="B75" s="99"/>
      <c r="C75" s="99"/>
      <c r="D75" s="99"/>
      <c r="E75" s="99"/>
      <c r="F75" s="99"/>
      <c r="G75" s="100"/>
      <c r="H75" s="99"/>
      <c r="I75" s="99"/>
      <c r="J75" s="99"/>
      <c r="K75" s="99"/>
      <c r="L75" s="99"/>
      <c r="M75" s="99"/>
      <c r="N75" s="99"/>
      <c r="O75" s="99"/>
      <c r="P75" s="99"/>
      <c r="Q75" s="99"/>
      <c r="R75" s="99"/>
      <c r="S75" s="99"/>
      <c r="T75" s="99"/>
    </row>
    <row r="76" spans="1:20" ht="12.75">
      <c r="A76" s="99"/>
      <c r="B76" s="99"/>
      <c r="C76" s="99"/>
      <c r="D76" s="99"/>
      <c r="E76" s="99"/>
      <c r="F76" s="99"/>
      <c r="G76" s="100"/>
      <c r="H76" s="99"/>
      <c r="I76" s="99"/>
      <c r="J76" s="99"/>
      <c r="K76" s="99"/>
      <c r="L76" s="99"/>
      <c r="M76" s="99"/>
      <c r="N76" s="99"/>
      <c r="O76" s="99"/>
      <c r="P76" s="99"/>
      <c r="Q76" s="99"/>
      <c r="R76" s="99"/>
      <c r="S76" s="99"/>
      <c r="T76" s="99"/>
    </row>
    <row r="77" spans="1:20" ht="12.75">
      <c r="A77" s="99"/>
      <c r="B77" s="99"/>
      <c r="C77" s="99"/>
      <c r="D77" s="99"/>
      <c r="E77" s="99"/>
      <c r="F77" s="99"/>
      <c r="G77" s="100"/>
      <c r="H77" s="99"/>
      <c r="I77" s="99"/>
      <c r="J77" s="99"/>
      <c r="K77" s="99"/>
      <c r="L77" s="99"/>
      <c r="M77" s="99"/>
      <c r="N77" s="99"/>
      <c r="O77" s="99"/>
      <c r="P77" s="99"/>
      <c r="Q77" s="99"/>
      <c r="R77" s="99"/>
      <c r="S77" s="99"/>
      <c r="T77" s="99"/>
    </row>
    <row r="78" spans="1:20" ht="12.75">
      <c r="A78" s="99"/>
      <c r="B78" s="99"/>
      <c r="C78" s="99"/>
      <c r="D78" s="99"/>
      <c r="E78" s="99"/>
      <c r="F78" s="99"/>
      <c r="G78" s="100"/>
      <c r="H78" s="99"/>
      <c r="I78" s="99"/>
      <c r="J78" s="99"/>
      <c r="K78" s="99"/>
      <c r="L78" s="99"/>
      <c r="M78" s="99"/>
      <c r="N78" s="99"/>
      <c r="O78" s="99"/>
      <c r="P78" s="99"/>
      <c r="Q78" s="99"/>
      <c r="R78" s="99"/>
      <c r="S78" s="99"/>
      <c r="T78" s="99"/>
    </row>
  </sheetData>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V67"/>
  <sheetViews>
    <sheetView zoomScale="75" zoomScaleNormal="75" workbookViewId="0" topLeftCell="A2">
      <selection activeCell="K12" sqref="K12"/>
    </sheetView>
  </sheetViews>
  <sheetFormatPr defaultColWidth="11.421875" defaultRowHeight="12.75"/>
  <cols>
    <col min="1" max="1" width="5.140625" style="0" customWidth="1"/>
    <col min="2" max="3" width="11.7109375" style="0" bestFit="1" customWidth="1"/>
    <col min="4" max="4" width="14.57421875" style="0" bestFit="1" customWidth="1"/>
    <col min="5" max="8" width="11.7109375" style="0" bestFit="1" customWidth="1"/>
    <col min="9" max="9" width="13.421875" style="0" customWidth="1"/>
  </cols>
  <sheetData>
    <row r="1" spans="1:22" ht="12.75">
      <c r="A1" s="103"/>
      <c r="B1" s="103"/>
      <c r="C1" s="103"/>
      <c r="D1" s="103"/>
      <c r="E1" s="103"/>
      <c r="F1" s="103"/>
      <c r="G1" s="116"/>
      <c r="H1" s="103"/>
      <c r="I1" s="103"/>
      <c r="J1" s="99"/>
      <c r="K1" s="99"/>
      <c r="L1" s="99"/>
      <c r="M1" s="99"/>
      <c r="N1" s="99"/>
      <c r="O1" s="99"/>
      <c r="P1" s="99"/>
      <c r="Q1" s="99"/>
      <c r="R1" s="99"/>
      <c r="S1" s="99"/>
      <c r="T1" s="99"/>
      <c r="U1" s="99"/>
      <c r="V1" s="99"/>
    </row>
    <row r="2" spans="1:22" ht="12.75">
      <c r="A2" s="103"/>
      <c r="B2" s="103"/>
      <c r="C2" s="103"/>
      <c r="D2" s="103"/>
      <c r="E2" s="103"/>
      <c r="F2" s="103"/>
      <c r="G2" s="103"/>
      <c r="H2" s="103"/>
      <c r="I2" s="103"/>
      <c r="J2" s="99"/>
      <c r="K2" s="99"/>
      <c r="L2" s="99"/>
      <c r="M2" s="99"/>
      <c r="N2" s="99"/>
      <c r="O2" s="99"/>
      <c r="P2" s="99"/>
      <c r="Q2" s="99"/>
      <c r="R2" s="99"/>
      <c r="S2" s="99"/>
      <c r="T2" s="99"/>
      <c r="U2" s="99"/>
      <c r="V2" s="99"/>
    </row>
    <row r="3" spans="1:22" ht="15">
      <c r="A3" s="103"/>
      <c r="B3" s="118" t="s">
        <v>64</v>
      </c>
      <c r="C3" s="118"/>
      <c r="D3" s="117"/>
      <c r="E3" s="117"/>
      <c r="F3" s="117"/>
      <c r="G3" s="117"/>
      <c r="H3" s="119"/>
      <c r="I3" s="103"/>
      <c r="J3" s="99"/>
      <c r="K3" s="99"/>
      <c r="L3" s="99"/>
      <c r="M3" s="99"/>
      <c r="N3" s="99"/>
      <c r="O3" s="99"/>
      <c r="P3" s="99"/>
      <c r="Q3" s="99"/>
      <c r="R3" s="99"/>
      <c r="S3" s="99"/>
      <c r="T3" s="99"/>
      <c r="U3" s="99"/>
      <c r="V3" s="99"/>
    </row>
    <row r="4" spans="1:22" ht="12.75">
      <c r="A4" s="103"/>
      <c r="B4" s="120" t="s">
        <v>63</v>
      </c>
      <c r="C4" s="103"/>
      <c r="D4" s="103"/>
      <c r="E4" s="103"/>
      <c r="F4" s="103"/>
      <c r="G4" s="116"/>
      <c r="H4" s="103"/>
      <c r="I4" s="103"/>
      <c r="J4" s="99"/>
      <c r="K4" s="99"/>
      <c r="L4" s="99"/>
      <c r="M4" s="99"/>
      <c r="N4" s="99"/>
      <c r="O4" s="99"/>
      <c r="P4" s="99"/>
      <c r="Q4" s="99"/>
      <c r="R4" s="99"/>
      <c r="S4" s="99"/>
      <c r="T4" s="99"/>
      <c r="U4" s="99"/>
      <c r="V4" s="99"/>
    </row>
    <row r="5" spans="1:22" ht="12.75">
      <c r="A5" s="103"/>
      <c r="B5" s="103"/>
      <c r="C5" s="103"/>
      <c r="D5" s="103"/>
      <c r="E5" s="103"/>
      <c r="F5" s="103"/>
      <c r="G5" s="103"/>
      <c r="H5" s="103"/>
      <c r="I5" s="103"/>
      <c r="J5" s="99"/>
      <c r="K5" s="99"/>
      <c r="L5" s="99"/>
      <c r="M5" s="99"/>
      <c r="N5" s="99"/>
      <c r="O5" s="99"/>
      <c r="P5" s="99"/>
      <c r="Q5" s="99"/>
      <c r="R5" s="99"/>
      <c r="S5" s="99"/>
      <c r="T5" s="99"/>
      <c r="U5" s="99"/>
      <c r="V5" s="99"/>
    </row>
    <row r="6" spans="1:22" ht="13.5" thickBot="1">
      <c r="A6" s="103"/>
      <c r="B6" s="103"/>
      <c r="C6" s="103"/>
      <c r="D6" s="124"/>
      <c r="E6" s="124"/>
      <c r="F6" s="124"/>
      <c r="G6" s="103"/>
      <c r="H6" s="103"/>
      <c r="I6" s="103"/>
      <c r="J6" s="99"/>
      <c r="K6" s="99"/>
      <c r="L6" s="99"/>
      <c r="M6" s="99"/>
      <c r="N6" s="99"/>
      <c r="O6" s="99"/>
      <c r="P6" s="99"/>
      <c r="Q6" s="99"/>
      <c r="R6" s="99"/>
      <c r="S6" s="99"/>
      <c r="T6" s="99"/>
      <c r="U6" s="99"/>
      <c r="V6" s="99"/>
    </row>
    <row r="7" spans="1:22" ht="13.5" thickBot="1">
      <c r="A7" s="103"/>
      <c r="B7" s="103"/>
      <c r="C7" s="103"/>
      <c r="D7" s="73" t="s">
        <v>2</v>
      </c>
      <c r="E7" s="73" t="s">
        <v>3</v>
      </c>
      <c r="F7" s="74" t="s">
        <v>4</v>
      </c>
      <c r="G7" s="103"/>
      <c r="H7" s="103"/>
      <c r="I7" s="103"/>
      <c r="J7" s="99"/>
      <c r="K7" s="99"/>
      <c r="L7" s="99"/>
      <c r="M7" s="99"/>
      <c r="N7" s="99"/>
      <c r="O7" s="99"/>
      <c r="P7" s="99"/>
      <c r="Q7" s="99"/>
      <c r="R7" s="99"/>
      <c r="S7" s="99"/>
      <c r="T7" s="99"/>
      <c r="U7" s="99"/>
      <c r="V7" s="99"/>
    </row>
    <row r="8" spans="1:22" ht="39" thickBot="1">
      <c r="A8" s="103"/>
      <c r="B8" s="85" t="s">
        <v>123</v>
      </c>
      <c r="C8" s="85" t="s">
        <v>1</v>
      </c>
      <c r="D8" s="75" t="s">
        <v>5</v>
      </c>
      <c r="E8" s="75" t="s">
        <v>5</v>
      </c>
      <c r="F8" s="75" t="s">
        <v>5</v>
      </c>
      <c r="G8" s="76" t="s">
        <v>12</v>
      </c>
      <c r="H8" s="77" t="s">
        <v>13</v>
      </c>
      <c r="I8" s="78" t="s">
        <v>62</v>
      </c>
      <c r="J8" s="99"/>
      <c r="K8" s="99"/>
      <c r="L8" s="99"/>
      <c r="M8" s="99"/>
      <c r="N8" s="99"/>
      <c r="O8" s="99"/>
      <c r="P8" s="99"/>
      <c r="Q8" s="99"/>
      <c r="R8" s="99"/>
      <c r="S8" s="99"/>
      <c r="T8" s="99"/>
      <c r="U8" s="99"/>
      <c r="V8" s="99"/>
    </row>
    <row r="9" spans="1:22" ht="13.5" thickBot="1">
      <c r="A9" s="103"/>
      <c r="B9" s="223">
        <f>'Tabla A1'!B18</f>
        <v>0</v>
      </c>
      <c r="C9" s="67">
        <f>'Tabla A1'!C18</f>
        <v>0</v>
      </c>
      <c r="D9" s="67">
        <f>'Tabla A1'!D18</f>
        <v>0.00016000005416572094</v>
      </c>
      <c r="E9" s="67">
        <f>'Tabla A1'!E18</f>
        <v>0.0001599999377503991</v>
      </c>
      <c r="F9" s="67">
        <f>'Tabla A1'!F18</f>
        <v>0.00021000008564442396</v>
      </c>
      <c r="G9" s="67">
        <f>(MAX(D9:F9)-MIN(D9:F9))/'Tabla A1'!$B$46</f>
        <v>0.07531169743673531</v>
      </c>
      <c r="H9" s="79">
        <f>IF(AND('Tabla A3'!C9&lt;=Auxiliar!$C$11,'Tabla A3'!C9&gt;=0),0.5*Informe!$D$24,IF(AND('Tabla A3'!C9&gt;Auxiliar!$C$11,'Tabla A3'!C9&lt;=Auxiliar!$C$12),Informe!$D$24,IF(AND('Tabla A3'!C9&gt;Auxiliar!$C$12,'Tabla A3'!C9&lt;=Auxiliar!$C$13),1.5*Informe!$D$24)))</f>
        <v>0.35</v>
      </c>
      <c r="I9" s="80" t="str">
        <f>IF(ABS(G9)&lt;H9,"favorable","desfavorable")</f>
        <v>favorable</v>
      </c>
      <c r="J9" s="99"/>
      <c r="K9" s="99"/>
      <c r="L9" s="99"/>
      <c r="M9" s="99"/>
      <c r="N9" s="99"/>
      <c r="O9" s="99"/>
      <c r="P9" s="99"/>
      <c r="Q9" s="99"/>
      <c r="R9" s="99"/>
      <c r="S9" s="99"/>
      <c r="T9" s="99"/>
      <c r="U9" s="99"/>
      <c r="V9" s="99"/>
    </row>
    <row r="10" spans="1:22" ht="13.5" thickBot="1">
      <c r="A10" s="103"/>
      <c r="B10" s="223">
        <f>'Tabla A1'!B19</f>
        <v>6.8595625</v>
      </c>
      <c r="C10" s="67">
        <f>'Tabla A1'!C19</f>
        <v>700</v>
      </c>
      <c r="D10" s="17">
        <f>'Tabla A1'!D19</f>
        <v>0.19760876893997192</v>
      </c>
      <c r="E10" s="67">
        <f>'Tabla A1'!E19</f>
        <v>0.19752000272274017</v>
      </c>
      <c r="F10" s="67">
        <f>'Tabla A1'!F19</f>
        <v>0.19753998517990112</v>
      </c>
      <c r="G10" s="17">
        <f>(MAX(D10:F10)-MIN(D10:F10))/'Tabla A1'!$B$46</f>
        <v>0.1337022944198132</v>
      </c>
      <c r="H10" s="79">
        <f>IF(AND('Tabla A3'!C10&lt;=Auxiliar!$C$11,'Tabla A3'!C10&gt;=0),0.5*Informe!$D$24,IF(AND('Tabla A3'!C10&gt;Auxiliar!$C$11,'Tabla A3'!C10&lt;=Auxiliar!$C$12),Informe!$D$24,IF(AND('Tabla A3'!C10&gt;Auxiliar!$C$12,'Tabla A3'!C10&lt;=Auxiliar!$C$13),1.5*Informe!$D$24)))</f>
        <v>0.35</v>
      </c>
      <c r="I10" s="69" t="str">
        <f aca="true" t="shared" si="0" ref="I10:I29">IF(ABS(G10)&lt;H10,"favorable","desfavorable")</f>
        <v>favorable</v>
      </c>
      <c r="J10" s="99"/>
      <c r="K10" s="99"/>
      <c r="L10" s="99"/>
      <c r="M10" s="99"/>
      <c r="N10" s="99"/>
      <c r="O10" s="99"/>
      <c r="P10" s="99"/>
      <c r="Q10" s="99"/>
      <c r="R10" s="99"/>
      <c r="S10" s="99"/>
      <c r="T10" s="99"/>
      <c r="U10" s="99"/>
      <c r="V10" s="99"/>
    </row>
    <row r="11" spans="1:22" ht="13.5" thickBot="1">
      <c r="A11" s="103"/>
      <c r="B11" s="223">
        <f>'Tabla A1'!B20</f>
        <v>13.719125</v>
      </c>
      <c r="C11" s="67">
        <f>'Tabla A1'!C20</f>
        <v>1400</v>
      </c>
      <c r="D11" s="17">
        <f>'Tabla A1'!D20</f>
        <v>0.39283856749534607</v>
      </c>
      <c r="E11" s="67">
        <f>'Tabla A1'!E20</f>
        <v>0.3927685618400574</v>
      </c>
      <c r="F11" s="67">
        <f>'Tabla A1'!F20</f>
        <v>0.39281854033470154</v>
      </c>
      <c r="G11" s="17">
        <f>(MAX(D11:F11)-MIN(D11:F11))/'Tabla A1'!$B$46</f>
        <v>0.10544458270677899</v>
      </c>
      <c r="H11" s="79">
        <f>IF(AND('Tabla A3'!C11&lt;=Auxiliar!$C$11,'Tabla A3'!C11&gt;=0),0.5*Informe!$D$24,IF(AND('Tabla A3'!C11&gt;Auxiliar!$C$11,'Tabla A3'!C11&lt;=Auxiliar!$C$12),Informe!$D$24,IF(AND('Tabla A3'!C11&gt;Auxiliar!$C$12,'Tabla A3'!C11&lt;=Auxiliar!$C$13),1.5*Informe!$D$24)))</f>
        <v>0.7</v>
      </c>
      <c r="I11" s="69" t="str">
        <f t="shared" si="0"/>
        <v>favorable</v>
      </c>
      <c r="J11" s="99"/>
      <c r="K11" s="99"/>
      <c r="L11" s="99"/>
      <c r="M11" s="99"/>
      <c r="N11" s="99"/>
      <c r="O11" s="99"/>
      <c r="P11" s="99"/>
      <c r="Q11" s="99"/>
      <c r="R11" s="99"/>
      <c r="S11" s="99"/>
      <c r="T11" s="99"/>
      <c r="U11" s="99"/>
      <c r="V11" s="99"/>
    </row>
    <row r="12" spans="1:22" ht="13.5" thickBot="1">
      <c r="A12" s="103"/>
      <c r="B12" s="223">
        <f>'Tabla A1'!B21</f>
        <v>20.5786875</v>
      </c>
      <c r="C12" s="67">
        <f>'Tabla A1'!C21</f>
        <v>2100</v>
      </c>
      <c r="D12" s="17">
        <f>'Tabla A1'!D21</f>
        <v>0.5905100107192993</v>
      </c>
      <c r="E12" s="67">
        <f>'Tabla A1'!E21</f>
        <v>0.5903500318527222</v>
      </c>
      <c r="F12" s="67">
        <f>'Tabla A1'!F21</f>
        <v>0.5903300046920776</v>
      </c>
      <c r="G12" s="17">
        <f>(MAX(D12:F12)-MIN(D12:F12))/'Tabla A1'!$B$46</f>
        <v>0.27113038720687316</v>
      </c>
      <c r="H12" s="79">
        <f>IF(AND('Tabla A3'!C12&lt;=Auxiliar!$C$11,'Tabla A3'!C12&gt;=0),0.5*Informe!$D$24,IF(AND('Tabla A3'!C12&gt;Auxiliar!$C$11,'Tabla A3'!C12&lt;=Auxiliar!$C$12),Informe!$D$24,IF(AND('Tabla A3'!C12&gt;Auxiliar!$C$12,'Tabla A3'!C12&lt;=Auxiliar!$C$13),1.5*Informe!$D$24)))</f>
        <v>0.7</v>
      </c>
      <c r="I12" s="69" t="str">
        <f t="shared" si="0"/>
        <v>favorable</v>
      </c>
      <c r="J12" s="99"/>
      <c r="K12" s="99"/>
      <c r="L12" s="99"/>
      <c r="M12" s="99"/>
      <c r="N12" s="99"/>
      <c r="O12" s="99"/>
      <c r="P12" s="99"/>
      <c r="Q12" s="99"/>
      <c r="R12" s="99"/>
      <c r="S12" s="99"/>
      <c r="T12" s="99"/>
      <c r="U12" s="99"/>
      <c r="V12" s="99"/>
    </row>
    <row r="13" spans="1:22" ht="13.5" thickBot="1">
      <c r="A13" s="103"/>
      <c r="B13" s="223">
        <f>'Tabla A1'!B22</f>
        <v>27.43825</v>
      </c>
      <c r="C13" s="67">
        <f>'Tabla A1'!C22</f>
        <v>2800</v>
      </c>
      <c r="D13" s="17">
        <f>'Tabla A1'!D22</f>
        <v>0.7909600138664246</v>
      </c>
      <c r="E13" s="67">
        <f>'Tabla A1'!E22</f>
        <v>0.7908499836921692</v>
      </c>
      <c r="F13" s="67">
        <f>'Tabla A1'!F22</f>
        <v>0.7908986806869507</v>
      </c>
      <c r="G13" s="17">
        <f>(MAX(D13:F13)-MIN(D13:F13))/'Tabla A1'!$B$46</f>
        <v>0.16573069363704898</v>
      </c>
      <c r="H13" s="79">
        <f>IF(AND('Tabla A3'!C13&lt;=Auxiliar!$C$11,'Tabla A3'!C13&gt;=0),0.5*Informe!$D$24,IF(AND('Tabla A3'!C13&gt;Auxiliar!$C$11,'Tabla A3'!C13&lt;=Auxiliar!$C$12),Informe!$D$24,IF(AND('Tabla A3'!C13&gt;Auxiliar!$C$12,'Tabla A3'!C13&lt;=Auxiliar!$C$13),1.5*Informe!$D$24)))</f>
        <v>0.7</v>
      </c>
      <c r="I13" s="69" t="str">
        <f t="shared" si="0"/>
        <v>favorable</v>
      </c>
      <c r="J13" s="99"/>
      <c r="K13" s="99"/>
      <c r="L13" s="99"/>
      <c r="M13" s="99"/>
      <c r="N13" s="99"/>
      <c r="O13" s="99"/>
      <c r="P13" s="99"/>
      <c r="Q13" s="99"/>
      <c r="R13" s="99"/>
      <c r="S13" s="99"/>
      <c r="T13" s="99"/>
      <c r="U13" s="99"/>
      <c r="V13" s="99"/>
    </row>
    <row r="14" spans="1:22" ht="13.5" thickBot="1">
      <c r="A14" s="103"/>
      <c r="B14" s="223">
        <f>'Tabla A1'!B23</f>
        <v>34.2978125</v>
      </c>
      <c r="C14" s="67">
        <f>'Tabla A1'!C23</f>
        <v>3500</v>
      </c>
      <c r="D14" s="17">
        <f>'Tabla A1'!D23</f>
        <v>0.9917500019073486</v>
      </c>
      <c r="E14" s="67">
        <f>'Tabla A1'!E23</f>
        <v>0.9916900396347046</v>
      </c>
      <c r="F14" s="67">
        <f>'Tabla A1'!F23</f>
        <v>0.9916900396347046</v>
      </c>
      <c r="G14" s="17">
        <f>(MAX(D14:F14)-MIN(D14:F14))/'Tabla A1'!$B$46</f>
        <v>0.09031694355301802</v>
      </c>
      <c r="H14" s="79">
        <f>IF(AND('Tabla A3'!C14&lt;=Auxiliar!$C$11,'Tabla A3'!C14&gt;=0),0.5*Informe!$D$24,IF(AND('Tabla A3'!C14&gt;Auxiliar!$C$11,'Tabla A3'!C14&lt;=Auxiliar!$C$12),Informe!$D$24,IF(AND('Tabla A3'!C14&gt;Auxiliar!$C$12,'Tabla A3'!C14&lt;=Auxiliar!$C$13),1.5*Informe!$D$24)))</f>
        <v>0.7</v>
      </c>
      <c r="I14" s="69" t="str">
        <f t="shared" si="0"/>
        <v>favorable</v>
      </c>
      <c r="J14" s="99"/>
      <c r="K14" s="99"/>
      <c r="L14" s="99"/>
      <c r="M14" s="99"/>
      <c r="N14" s="99"/>
      <c r="O14" s="99"/>
      <c r="P14" s="99"/>
      <c r="Q14" s="99"/>
      <c r="R14" s="99"/>
      <c r="S14" s="99"/>
      <c r="T14" s="99"/>
      <c r="U14" s="99"/>
      <c r="V14" s="99"/>
    </row>
    <row r="15" spans="1:22" ht="13.5" thickBot="1">
      <c r="A15" s="103"/>
      <c r="B15" s="223">
        <f>'Tabla A1'!B24</f>
        <v>41.157375</v>
      </c>
      <c r="C15" s="67">
        <f>'Tabla A1'!C24</f>
        <v>4200</v>
      </c>
      <c r="D15" s="17">
        <f>'Tabla A1'!D24</f>
        <v>1.192699909210205</v>
      </c>
      <c r="E15" s="67">
        <f>'Tabla A1'!E24</f>
        <v>1.1926300525665283</v>
      </c>
      <c r="F15" s="67">
        <f>'Tabla A1'!F24</f>
        <v>1.1923999786376953</v>
      </c>
      <c r="G15" s="17">
        <f>(MAX(D15:F15)-MIN(D15:F15))/'Tabla A1'!$B$46</f>
        <v>0.4517642743129092</v>
      </c>
      <c r="H15" s="79">
        <f>IF(AND('Tabla A3'!C15&lt;=Auxiliar!$C$11,'Tabla A3'!C15&gt;=0),0.5*Informe!$D$24,IF(AND('Tabla A3'!C15&gt;Auxiliar!$C$11,'Tabla A3'!C15&lt;=Auxiliar!$C$12),Informe!$D$24,IF(AND('Tabla A3'!C15&gt;Auxiliar!$C$12,'Tabla A3'!C15&lt;=Auxiliar!$C$13),1.5*Informe!$D$24)))</f>
        <v>0.7</v>
      </c>
      <c r="I15" s="69" t="str">
        <f t="shared" si="0"/>
        <v>favorable</v>
      </c>
      <c r="J15" s="99"/>
      <c r="K15" s="99"/>
      <c r="L15" s="99"/>
      <c r="M15" s="99"/>
      <c r="N15" s="99"/>
      <c r="O15" s="99"/>
      <c r="P15" s="99"/>
      <c r="Q15" s="99"/>
      <c r="R15" s="99"/>
      <c r="S15" s="99"/>
      <c r="T15" s="99"/>
      <c r="U15" s="99"/>
      <c r="V15" s="99"/>
    </row>
    <row r="16" spans="1:22" ht="13.5" thickBot="1">
      <c r="A16" s="103"/>
      <c r="B16" s="223">
        <f>'Tabla A1'!B25</f>
        <v>48.0169375</v>
      </c>
      <c r="C16" s="67">
        <f>'Tabla A1'!C25</f>
        <v>4900</v>
      </c>
      <c r="D16" s="17">
        <f>'Tabla A1'!D25</f>
        <v>1.3935999870300293</v>
      </c>
      <c r="E16" s="67">
        <f>'Tabla A1'!E25</f>
        <v>1.3934999704360962</v>
      </c>
      <c r="F16" s="67">
        <f>'Tabla A1'!F25</f>
        <v>1.3934400081634521</v>
      </c>
      <c r="G16" s="17">
        <f>(MAX(D16:F16)-MIN(D16:F16))/'Tabla A1'!$B$46</f>
        <v>0.2409648871732608</v>
      </c>
      <c r="H16" s="79">
        <f>IF(AND('Tabla A3'!C16&lt;=Auxiliar!$C$11,'Tabla A3'!C16&gt;=0),0.5*Informe!$D$24,IF(AND('Tabla A3'!C16&gt;Auxiliar!$C$11,'Tabla A3'!C16&lt;=Auxiliar!$C$12),Informe!$D$24,IF(AND('Tabla A3'!C16&gt;Auxiliar!$C$12,'Tabla A3'!C16&lt;=Auxiliar!$C$13),1.5*Informe!$D$24)))</f>
        <v>1.0499999999999998</v>
      </c>
      <c r="I16" s="69" t="str">
        <f t="shared" si="0"/>
        <v>favorable</v>
      </c>
      <c r="J16" s="99"/>
      <c r="K16" s="99"/>
      <c r="L16" s="99"/>
      <c r="M16" s="99"/>
      <c r="N16" s="99"/>
      <c r="O16" s="99"/>
      <c r="P16" s="99"/>
      <c r="Q16" s="99"/>
      <c r="R16" s="99"/>
      <c r="S16" s="99"/>
      <c r="T16" s="99"/>
      <c r="U16" s="99"/>
      <c r="V16" s="99"/>
    </row>
    <row r="17" spans="1:22" ht="13.5" thickBot="1">
      <c r="A17" s="103"/>
      <c r="B17" s="223">
        <f>'Tabla A1'!B26</f>
        <v>54.8765</v>
      </c>
      <c r="C17" s="67">
        <f>'Tabla A1'!C26</f>
        <v>5600</v>
      </c>
      <c r="D17" s="17">
        <f>'Tabla A1'!D26</f>
        <v>1.5945398807525635</v>
      </c>
      <c r="E17" s="67">
        <f>'Tabla A1'!E26</f>
        <v>1.5944688320159912</v>
      </c>
      <c r="F17" s="67">
        <f>'Tabla A1'!F26</f>
        <v>1.594288945198059</v>
      </c>
      <c r="G17" s="17">
        <f>(MAX(D17:F17)-MIN(D17:F17))/'Tabla A1'!$B$46</f>
        <v>0.3779665331592504</v>
      </c>
      <c r="H17" s="79">
        <f>IF(AND('Tabla A3'!C17&lt;=Auxiliar!$C$11,'Tabla A3'!C17&gt;=0),0.5*Informe!$D$24,IF(AND('Tabla A3'!C17&gt;Auxiliar!$C$11,'Tabla A3'!C17&lt;=Auxiliar!$C$12),Informe!$D$24,IF(AND('Tabla A3'!C17&gt;Auxiliar!$C$12,'Tabla A3'!C17&lt;=Auxiliar!$C$13),1.5*Informe!$D$24)))</f>
        <v>1.0499999999999998</v>
      </c>
      <c r="I17" s="69" t="str">
        <f t="shared" si="0"/>
        <v>favorable</v>
      </c>
      <c r="J17" s="99"/>
      <c r="K17" s="99"/>
      <c r="L17" s="99"/>
      <c r="M17" s="99"/>
      <c r="N17" s="99"/>
      <c r="O17" s="99"/>
      <c r="P17" s="99"/>
      <c r="Q17" s="99"/>
      <c r="R17" s="99"/>
      <c r="S17" s="99"/>
      <c r="T17" s="99"/>
      <c r="U17" s="99"/>
      <c r="V17" s="99"/>
    </row>
    <row r="18" spans="1:22" ht="13.5" thickBot="1">
      <c r="A18" s="103"/>
      <c r="B18" s="223">
        <f>'Tabla A1'!B27</f>
        <v>61.7360625</v>
      </c>
      <c r="C18" s="67">
        <f>'Tabla A1'!C27</f>
        <v>6300</v>
      </c>
      <c r="D18" s="17">
        <f>'Tabla A1'!D27</f>
        <v>1.7954899072647095</v>
      </c>
      <c r="E18" s="67">
        <f>'Tabla A1'!E27</f>
        <v>1.7951998710632324</v>
      </c>
      <c r="F18" s="67">
        <f>'Tabla A1'!F27</f>
        <v>1.7953097820281982</v>
      </c>
      <c r="G18" s="17">
        <f>(MAX(D18:F18)-MIN(D18:F18))/'Tabla A1'!$B$46</f>
        <v>0.43686108084392217</v>
      </c>
      <c r="H18" s="79">
        <f>IF(AND('Tabla A3'!C18&lt;=Auxiliar!$C$11,'Tabla A3'!C18&gt;=0),0.5*Informe!$D$24,IF(AND('Tabla A3'!C18&gt;Auxiliar!$C$11,'Tabla A3'!C18&lt;=Auxiliar!$C$12),Informe!$D$24,IF(AND('Tabla A3'!C18&gt;Auxiliar!$C$12,'Tabla A3'!C18&lt;=Auxiliar!$C$13),1.5*Informe!$D$24)))</f>
        <v>1.0499999999999998</v>
      </c>
      <c r="I18" s="69" t="str">
        <f t="shared" si="0"/>
        <v>favorable</v>
      </c>
      <c r="J18" s="99"/>
      <c r="K18" s="99"/>
      <c r="L18" s="99"/>
      <c r="M18" s="99"/>
      <c r="N18" s="99"/>
      <c r="O18" s="99"/>
      <c r="P18" s="99"/>
      <c r="Q18" s="99"/>
      <c r="R18" s="99"/>
      <c r="S18" s="99"/>
      <c r="T18" s="99"/>
      <c r="U18" s="99"/>
      <c r="V18" s="99"/>
    </row>
    <row r="19" spans="1:22" ht="13.5" thickBot="1">
      <c r="A19" s="103"/>
      <c r="B19" s="223">
        <f>'Tabla A1'!B28</f>
        <v>68.595625</v>
      </c>
      <c r="C19" s="67">
        <f>'Tabla A1'!C28</f>
        <v>7000</v>
      </c>
      <c r="D19" s="17">
        <f>'Tabla A1'!D28</f>
        <v>1.9963988065719604</v>
      </c>
      <c r="E19" s="67">
        <f>'Tabla A1'!E28</f>
        <v>1.996298909187317</v>
      </c>
      <c r="F19" s="67">
        <f>'Tabla A1'!F28</f>
        <v>1.9962400197982788</v>
      </c>
      <c r="G19" s="17">
        <f>(MAX(D19:F19)-MIN(D19:F19))/'Tabla A1'!$B$46</f>
        <v>0.23916932169506958</v>
      </c>
      <c r="H19" s="79">
        <f>IF(AND('Tabla A3'!C19&lt;=Auxiliar!$C$11,'Tabla A3'!C19&gt;=0),0.5*Informe!$D$24,IF(AND('Tabla A3'!C19&gt;Auxiliar!$C$11,'Tabla A3'!C19&lt;=Auxiliar!$C$12),Informe!$D$24,IF(AND('Tabla A3'!C19&gt;Auxiliar!$C$12,'Tabla A3'!C19&lt;=Auxiliar!$C$13),1.5*Informe!$D$24)))</f>
        <v>1.0499999999999998</v>
      </c>
      <c r="I19" s="69" t="str">
        <f t="shared" si="0"/>
        <v>favorable</v>
      </c>
      <c r="J19" s="99"/>
      <c r="K19" s="99"/>
      <c r="L19" s="99"/>
      <c r="M19" s="99"/>
      <c r="N19" s="99"/>
      <c r="O19" s="99"/>
      <c r="P19" s="99"/>
      <c r="Q19" s="99"/>
      <c r="R19" s="99"/>
      <c r="S19" s="99"/>
      <c r="T19" s="99"/>
      <c r="U19" s="99"/>
      <c r="V19" s="99"/>
    </row>
    <row r="20" spans="1:22" ht="13.5" thickBot="1">
      <c r="A20" s="103"/>
      <c r="B20" s="223">
        <f>'Tabla A1'!B29</f>
        <v>61.7360625</v>
      </c>
      <c r="C20" s="67">
        <f>'Tabla A1'!C29</f>
        <v>6300</v>
      </c>
      <c r="D20" s="17">
        <f>'Tabla A1'!D29</f>
        <v>1.7953599691390991</v>
      </c>
      <c r="E20" s="67">
        <f>'Tabla A1'!E29</f>
        <v>1.79531991481781</v>
      </c>
      <c r="F20" s="67">
        <f>'Tabla A1'!F29</f>
        <v>1.795219898223877</v>
      </c>
      <c r="G20" s="17">
        <f>(MAX(D20:F20)-MIN(D20:F20))/'Tabla A1'!$B$46</f>
        <v>0.21097894368746753</v>
      </c>
      <c r="H20" s="79">
        <f>IF(AND('Tabla A3'!C20&lt;=Auxiliar!$C$11,'Tabla A3'!C20&gt;=0),0.5*Informe!$D$24,IF(AND('Tabla A3'!C20&gt;Auxiliar!$C$11,'Tabla A3'!C20&lt;=Auxiliar!$C$12),Informe!$D$24,IF(AND('Tabla A3'!C20&gt;Auxiliar!$C$12,'Tabla A3'!C20&lt;=Auxiliar!$C$13),1.5*Informe!$D$24)))</f>
        <v>1.0499999999999998</v>
      </c>
      <c r="I20" s="69" t="str">
        <f t="shared" si="0"/>
        <v>favorable</v>
      </c>
      <c r="J20" s="99"/>
      <c r="K20" s="99"/>
      <c r="L20" s="99"/>
      <c r="M20" s="99"/>
      <c r="N20" s="99"/>
      <c r="O20" s="99"/>
      <c r="P20" s="99"/>
      <c r="Q20" s="99"/>
      <c r="R20" s="99"/>
      <c r="S20" s="99"/>
      <c r="T20" s="99"/>
      <c r="U20" s="99"/>
      <c r="V20" s="99"/>
    </row>
    <row r="21" spans="1:22" ht="13.5" thickBot="1">
      <c r="A21" s="103"/>
      <c r="B21" s="223">
        <f>'Tabla A1'!B30</f>
        <v>54.8765</v>
      </c>
      <c r="C21" s="67">
        <f>'Tabla A1'!C30</f>
        <v>5600</v>
      </c>
      <c r="D21" s="17">
        <f>'Tabla A1'!D30</f>
        <v>1.5943398475646973</v>
      </c>
      <c r="E21" s="67">
        <f>'Tabla A1'!E30</f>
        <v>1.5943598747253418</v>
      </c>
      <c r="F21" s="67">
        <f>'Tabla A1'!F30</f>
        <v>1.594269871711731</v>
      </c>
      <c r="G21" s="17">
        <f>(MAX(D21:F21)-MIN(D21:F21))/'Tabla A1'!$B$46</f>
        <v>0.13556519360343658</v>
      </c>
      <c r="H21" s="79">
        <f>IF(AND('Tabla A3'!C21&lt;=Auxiliar!$C$11,'Tabla A3'!C21&gt;=0),0.5*Informe!$D$24,IF(AND('Tabla A3'!C21&gt;Auxiliar!$C$11,'Tabla A3'!C21&lt;=Auxiliar!$C$12),Informe!$D$24,IF(AND('Tabla A3'!C21&gt;Auxiliar!$C$12,'Tabla A3'!C21&lt;=Auxiliar!$C$13),1.5*Informe!$D$24)))</f>
        <v>1.0499999999999998</v>
      </c>
      <c r="I21" s="69" t="str">
        <f t="shared" si="0"/>
        <v>favorable</v>
      </c>
      <c r="J21" s="99"/>
      <c r="K21" s="99"/>
      <c r="L21" s="99"/>
      <c r="M21" s="99"/>
      <c r="N21" s="99"/>
      <c r="O21" s="99"/>
      <c r="P21" s="99"/>
      <c r="Q21" s="99"/>
      <c r="R21" s="99"/>
      <c r="S21" s="99"/>
      <c r="T21" s="99"/>
      <c r="U21" s="99"/>
      <c r="V21" s="99"/>
    </row>
    <row r="22" spans="1:22" ht="13.5" thickBot="1">
      <c r="A22" s="103"/>
      <c r="B22" s="223">
        <f>'Tabla A1'!B31</f>
        <v>48.0169375</v>
      </c>
      <c r="C22" s="67">
        <f>'Tabla A1'!C31</f>
        <v>4900</v>
      </c>
      <c r="D22" s="17">
        <f>'Tabla A1'!D31</f>
        <v>1.3934400081634521</v>
      </c>
      <c r="E22" s="67">
        <f>'Tabla A1'!E31</f>
        <v>1.3932700157165527</v>
      </c>
      <c r="F22" s="67">
        <f>'Tabla A1'!F31</f>
        <v>1.393339991569519</v>
      </c>
      <c r="G22" s="17">
        <f>(MAX(D22:F22)-MIN(D22:F22))/'Tabla A1'!$B$46</f>
        <v>0.256047637190067</v>
      </c>
      <c r="H22" s="79">
        <f>IF(AND('Tabla A3'!C22&lt;=Auxiliar!$C$11,'Tabla A3'!C22&gt;=0),0.5*Informe!$D$24,IF(AND('Tabla A3'!C22&gt;Auxiliar!$C$11,'Tabla A3'!C22&lt;=Auxiliar!$C$12),Informe!$D$24,IF(AND('Tabla A3'!C22&gt;Auxiliar!$C$12,'Tabla A3'!C22&lt;=Auxiliar!$C$13),1.5*Informe!$D$24)))</f>
        <v>1.0499999999999998</v>
      </c>
      <c r="I22" s="69" t="str">
        <f t="shared" si="0"/>
        <v>favorable</v>
      </c>
      <c r="J22" s="99"/>
      <c r="K22" s="99"/>
      <c r="L22" s="99"/>
      <c r="M22" s="99"/>
      <c r="N22" s="99"/>
      <c r="O22" s="99"/>
      <c r="P22" s="99"/>
      <c r="Q22" s="99"/>
      <c r="R22" s="99"/>
      <c r="S22" s="99"/>
      <c r="T22" s="99"/>
      <c r="U22" s="99"/>
      <c r="V22" s="99"/>
    </row>
    <row r="23" spans="1:22" ht="13.5" thickBot="1">
      <c r="A23" s="103"/>
      <c r="B23" s="223">
        <f>'Tabla A1'!B32</f>
        <v>41.157375</v>
      </c>
      <c r="C23" s="67">
        <f>'Tabla A1'!C32</f>
        <v>4200</v>
      </c>
      <c r="D23" s="17">
        <f>'Tabla A1'!D32</f>
        <v>1.192639946937561</v>
      </c>
      <c r="E23" s="67">
        <f>'Tabla A1'!E32</f>
        <v>1.1924999952316284</v>
      </c>
      <c r="F23" s="67">
        <f>'Tabla A1'!F32</f>
        <v>1.192449927330017</v>
      </c>
      <c r="G23" s="17">
        <f>(MAX(D23:F23)-MIN(D23:F23))/'Tabla A1'!$B$46</f>
        <v>0.28621313722367936</v>
      </c>
      <c r="H23" s="79">
        <f>IF(AND('Tabla A3'!C23&lt;=Auxiliar!$C$11,'Tabla A3'!C23&gt;=0),0.5*Informe!$D$24,IF(AND('Tabla A3'!C23&gt;Auxiliar!$C$11,'Tabla A3'!C23&lt;=Auxiliar!$C$12),Informe!$D$24,IF(AND('Tabla A3'!C23&gt;Auxiliar!$C$12,'Tabla A3'!C23&lt;=Auxiliar!$C$13),1.5*Informe!$D$24)))</f>
        <v>0.7</v>
      </c>
      <c r="I23" s="69" t="str">
        <f t="shared" si="0"/>
        <v>favorable</v>
      </c>
      <c r="J23" s="99"/>
      <c r="K23" s="99"/>
      <c r="L23" s="99"/>
      <c r="M23" s="99"/>
      <c r="N23" s="99"/>
      <c r="O23" s="99"/>
      <c r="P23" s="99"/>
      <c r="Q23" s="99"/>
      <c r="R23" s="99"/>
      <c r="S23" s="99"/>
      <c r="T23" s="99"/>
      <c r="U23" s="99"/>
      <c r="V23" s="99"/>
    </row>
    <row r="24" spans="1:22" ht="13.5" thickBot="1">
      <c r="A24" s="103"/>
      <c r="B24" s="223">
        <f>'Tabla A1'!B33</f>
        <v>34.2978125</v>
      </c>
      <c r="C24" s="67">
        <f>'Tabla A1'!C33</f>
        <v>3500</v>
      </c>
      <c r="D24" s="17">
        <f>'Tabla A1'!D33</f>
        <v>0.9916999936103821</v>
      </c>
      <c r="E24" s="67">
        <f>'Tabla A1'!E33</f>
        <v>0.9916900396347046</v>
      </c>
      <c r="F24" s="67">
        <f>'Tabla A1'!F33</f>
        <v>0.9916900396347046</v>
      </c>
      <c r="G24" s="17">
        <f>(MAX(D24:F24)-MIN(D24:F24))/'Tabla A1'!$B$46</f>
        <v>0.014992971742896629</v>
      </c>
      <c r="H24" s="79">
        <f>IF(AND('Tabla A3'!C24&lt;=Auxiliar!$C$11,'Tabla A3'!C24&gt;=0),0.5*Informe!$D$24,IF(AND('Tabla A3'!C24&gt;Auxiliar!$C$11,'Tabla A3'!C24&lt;=Auxiliar!$C$12),Informe!$D$24,IF(AND('Tabla A3'!C24&gt;Auxiliar!$C$12,'Tabla A3'!C24&lt;=Auxiliar!$C$13),1.5*Informe!$D$24)))</f>
        <v>0.7</v>
      </c>
      <c r="I24" s="69" t="str">
        <f t="shared" si="0"/>
        <v>favorable</v>
      </c>
      <c r="J24" s="99"/>
      <c r="K24" s="99"/>
      <c r="L24" s="99"/>
      <c r="M24" s="99"/>
      <c r="N24" s="99"/>
      <c r="O24" s="99"/>
      <c r="P24" s="99"/>
      <c r="Q24" s="99"/>
      <c r="R24" s="99"/>
      <c r="S24" s="99"/>
      <c r="T24" s="99"/>
      <c r="U24" s="99"/>
      <c r="V24" s="99"/>
    </row>
    <row r="25" spans="1:22" ht="13.5" thickBot="1">
      <c r="A25" s="103"/>
      <c r="B25" s="223">
        <f>'Tabla A1'!B34</f>
        <v>27.43825</v>
      </c>
      <c r="C25" s="67">
        <f>'Tabla A1'!C34</f>
        <v>2800</v>
      </c>
      <c r="D25" s="17">
        <f>'Tabla A1'!D34</f>
        <v>0.7909300327301025</v>
      </c>
      <c r="E25" s="67">
        <f>'Tabla A1'!E34</f>
        <v>0.790869951248169</v>
      </c>
      <c r="F25" s="67">
        <f>'Tabla A1'!F34</f>
        <v>0.7908599376678467</v>
      </c>
      <c r="G25" s="17">
        <f>(MAX(D25:F25)-MIN(D25:F25))/'Tabla A1'!$B$46</f>
        <v>0.10557925011764333</v>
      </c>
      <c r="H25" s="79">
        <f>IF(AND('Tabla A3'!C25&lt;=Auxiliar!$C$11,'Tabla A3'!C25&gt;=0),0.5*Informe!$D$24,IF(AND('Tabla A3'!C25&gt;Auxiliar!$C$11,'Tabla A3'!C25&lt;=Auxiliar!$C$12),Informe!$D$24,IF(AND('Tabla A3'!C25&gt;Auxiliar!$C$12,'Tabla A3'!C25&lt;=Auxiliar!$C$13),1.5*Informe!$D$24)))</f>
        <v>0.7</v>
      </c>
      <c r="I25" s="69" t="str">
        <f t="shared" si="0"/>
        <v>favorable</v>
      </c>
      <c r="J25" s="99"/>
      <c r="K25" s="99"/>
      <c r="L25" s="99"/>
      <c r="M25" s="99"/>
      <c r="N25" s="99"/>
      <c r="O25" s="99"/>
      <c r="P25" s="99"/>
      <c r="Q25" s="99"/>
      <c r="R25" s="99"/>
      <c r="S25" s="99"/>
      <c r="T25" s="99"/>
      <c r="U25" s="99"/>
      <c r="V25" s="99"/>
    </row>
    <row r="26" spans="1:22" ht="13.5" thickBot="1">
      <c r="A26" s="103"/>
      <c r="B26" s="223">
        <f>'Tabla A1'!B35</f>
        <v>20.5786875</v>
      </c>
      <c r="C26" s="67">
        <f>'Tabla A1'!C35</f>
        <v>2100</v>
      </c>
      <c r="D26" s="17">
        <f>'Tabla A1'!D35</f>
        <v>0.5901899933815002</v>
      </c>
      <c r="E26" s="67">
        <f>'Tabla A1'!E35</f>
        <v>0.5901000499725342</v>
      </c>
      <c r="F26" s="67">
        <f>'Tabla A1'!F35</f>
        <v>0.5900900363922119</v>
      </c>
      <c r="G26" s="17">
        <f>(MAX(D26:F26)-MIN(D26:F26))/'Tabla A1'!$B$46</f>
        <v>0.1505581653463332</v>
      </c>
      <c r="H26" s="79">
        <f>IF(AND('Tabla A3'!C26&lt;=Auxiliar!$C$11,'Tabla A3'!C26&gt;=0),0.5*Informe!$D$24,IF(AND('Tabla A3'!C26&gt;Auxiliar!$C$11,'Tabla A3'!C26&lt;=Auxiliar!$C$12),Informe!$D$24,IF(AND('Tabla A3'!C26&gt;Auxiliar!$C$12,'Tabla A3'!C26&lt;=Auxiliar!$C$13),1.5*Informe!$D$24)))</f>
        <v>0.7</v>
      </c>
      <c r="I26" s="69" t="str">
        <f t="shared" si="0"/>
        <v>favorable</v>
      </c>
      <c r="J26" s="99"/>
      <c r="K26" s="99"/>
      <c r="L26" s="99"/>
      <c r="M26" s="99"/>
      <c r="N26" s="99"/>
      <c r="O26" s="99"/>
      <c r="P26" s="99"/>
      <c r="Q26" s="99"/>
      <c r="R26" s="99"/>
      <c r="S26" s="99"/>
      <c r="T26" s="99"/>
      <c r="U26" s="99"/>
      <c r="V26" s="99"/>
    </row>
    <row r="27" spans="1:22" ht="13.5" thickBot="1">
      <c r="A27" s="103"/>
      <c r="B27" s="223">
        <f>'Tabla A1'!B36</f>
        <v>13.719125</v>
      </c>
      <c r="C27" s="67">
        <f>'Tabla A1'!C36</f>
        <v>1400</v>
      </c>
      <c r="D27" s="17">
        <f>'Tabla A1'!D36</f>
        <v>0.38978835940361023</v>
      </c>
      <c r="E27" s="67">
        <f>'Tabla A1'!E36</f>
        <v>0.38965997099876404</v>
      </c>
      <c r="F27" s="67">
        <f>'Tabla A1'!F36</f>
        <v>0.3896683156490326</v>
      </c>
      <c r="G27" s="17">
        <f>(MAX(D27:F27)-MIN(D27:F27))/'Tabla A1'!$B$46</f>
        <v>0.19338240200119367</v>
      </c>
      <c r="H27" s="79">
        <f>IF(AND('Tabla A3'!C27&lt;=Auxiliar!$C$11,'Tabla A3'!C27&gt;=0),0.5*Informe!$D$24,IF(AND('Tabla A3'!C27&gt;Auxiliar!$C$11,'Tabla A3'!C27&lt;=Auxiliar!$C$12),Informe!$D$24,IF(AND('Tabla A3'!C27&gt;Auxiliar!$C$12,'Tabla A3'!C27&lt;=Auxiliar!$C$13),1.5*Informe!$D$24)))</f>
        <v>0.7</v>
      </c>
      <c r="I27" s="69" t="str">
        <f t="shared" si="0"/>
        <v>favorable</v>
      </c>
      <c r="J27" s="99"/>
      <c r="K27" s="99"/>
      <c r="L27" s="99"/>
      <c r="M27" s="99"/>
      <c r="N27" s="99"/>
      <c r="O27" s="99"/>
      <c r="P27" s="99"/>
      <c r="Q27" s="99"/>
      <c r="R27" s="99"/>
      <c r="S27" s="99"/>
      <c r="T27" s="99"/>
      <c r="U27" s="99"/>
      <c r="V27" s="99"/>
    </row>
    <row r="28" spans="1:22" ht="13.5" thickBot="1">
      <c r="A28" s="103"/>
      <c r="B28" s="223">
        <f>'Tabla A1'!B37</f>
        <v>6.8595625</v>
      </c>
      <c r="C28" s="67">
        <f>'Tabla A1'!C37</f>
        <v>700</v>
      </c>
      <c r="D28" s="17">
        <f>'Tabla A1'!D37</f>
        <v>0.19229000806808472</v>
      </c>
      <c r="E28" s="67">
        <f>'Tabla A1'!E37</f>
        <v>0.19217999279499054</v>
      </c>
      <c r="F28" s="67">
        <f>'Tabla A1'!F37</f>
        <v>0.19214999675750732</v>
      </c>
      <c r="G28" s="17">
        <f>(MAX(D28:F28)-MIN(D28:F28))/'Tabla A1'!$B$46</f>
        <v>0.21088916541355798</v>
      </c>
      <c r="H28" s="79">
        <f>IF(AND('Tabla A3'!C28&lt;=Auxiliar!$C$11,'Tabla A3'!C28&gt;=0),0.5*Informe!$D$24,IF(AND('Tabla A3'!C28&gt;Auxiliar!$C$11,'Tabla A3'!C28&lt;=Auxiliar!$C$12),Informe!$D$24,IF(AND('Tabla A3'!C28&gt;Auxiliar!$C$12,'Tabla A3'!C28&lt;=Auxiliar!$C$13),1.5*Informe!$D$24)))</f>
        <v>0.35</v>
      </c>
      <c r="I28" s="69" t="str">
        <f t="shared" si="0"/>
        <v>favorable</v>
      </c>
      <c r="J28" s="99"/>
      <c r="K28" s="99"/>
      <c r="L28" s="99"/>
      <c r="M28" s="99"/>
      <c r="N28" s="99"/>
      <c r="O28" s="99"/>
      <c r="P28" s="99"/>
      <c r="Q28" s="99"/>
      <c r="R28" s="99"/>
      <c r="S28" s="99"/>
      <c r="T28" s="99"/>
      <c r="U28" s="99"/>
      <c r="V28" s="99"/>
    </row>
    <row r="29" spans="1:22" ht="13.5" thickBot="1">
      <c r="A29" s="103"/>
      <c r="B29" s="223">
        <f>'Tabla A1'!B38</f>
        <v>0</v>
      </c>
      <c r="C29" s="67">
        <f>'Tabla A1'!C38</f>
        <v>0</v>
      </c>
      <c r="D29" s="20">
        <f>'Tabla A1'!D38</f>
        <v>-1.9999919459223747E-05</v>
      </c>
      <c r="E29" s="72">
        <f>'Tabla A1'!E38</f>
        <v>-0.00010000006295740604</v>
      </c>
      <c r="F29" s="72">
        <f>'Tabla A1'!F38</f>
        <v>-6.999995093792677E-05</v>
      </c>
      <c r="G29" s="20">
        <f>(MAX(D29:F29)-MIN(D29:F29))/'Tabla A1'!$B$46</f>
        <v>0.12049857562022352</v>
      </c>
      <c r="H29" s="79">
        <f>IF(AND('Tabla A3'!C29&lt;=Auxiliar!$C$11,'Tabla A3'!C29&gt;=0),0.5*Informe!$D$24,IF(AND('Tabla A3'!C29&gt;Auxiliar!$C$11,'Tabla A3'!C29&lt;=Auxiliar!$C$12),Informe!$D$24,IF(AND('Tabla A3'!C29&gt;Auxiliar!$C$12,'Tabla A3'!C29&lt;=Auxiliar!$C$13),1.5*Informe!$D$24)))</f>
        <v>0.35</v>
      </c>
      <c r="I29" s="71" t="str">
        <f t="shared" si="0"/>
        <v>favorable</v>
      </c>
      <c r="J29" s="99"/>
      <c r="K29" s="99"/>
      <c r="L29" s="99"/>
      <c r="M29" s="99"/>
      <c r="N29" s="99"/>
      <c r="O29" s="99"/>
      <c r="P29" s="99"/>
      <c r="Q29" s="99"/>
      <c r="R29" s="99"/>
      <c r="S29" s="99"/>
      <c r="T29" s="99"/>
      <c r="U29" s="99"/>
      <c r="V29" s="99"/>
    </row>
    <row r="30" spans="1:22" ht="12.75">
      <c r="A30" s="103"/>
      <c r="B30" s="103"/>
      <c r="C30" s="103"/>
      <c r="D30" s="103"/>
      <c r="E30" s="103"/>
      <c r="F30" s="103"/>
      <c r="G30" s="103"/>
      <c r="H30" s="103"/>
      <c r="I30" s="103"/>
      <c r="J30" s="99"/>
      <c r="K30" s="99"/>
      <c r="L30" s="99"/>
      <c r="M30" s="99"/>
      <c r="N30" s="99"/>
      <c r="O30" s="99"/>
      <c r="P30" s="99"/>
      <c r="Q30" s="99"/>
      <c r="R30" s="99"/>
      <c r="S30" s="99"/>
      <c r="T30" s="99"/>
      <c r="U30" s="99"/>
      <c r="V30" s="99"/>
    </row>
    <row r="31" spans="1:22" ht="12.75">
      <c r="A31" s="103"/>
      <c r="B31" s="103"/>
      <c r="C31" s="103"/>
      <c r="D31" s="103"/>
      <c r="E31" s="103"/>
      <c r="F31" s="103"/>
      <c r="G31" s="103"/>
      <c r="H31" s="103"/>
      <c r="I31" s="103"/>
      <c r="J31" s="99"/>
      <c r="K31" s="99"/>
      <c r="L31" s="99"/>
      <c r="M31" s="99"/>
      <c r="N31" s="99"/>
      <c r="O31" s="99"/>
      <c r="P31" s="99"/>
      <c r="Q31" s="99"/>
      <c r="R31" s="99"/>
      <c r="S31" s="99"/>
      <c r="T31" s="99"/>
      <c r="U31" s="99"/>
      <c r="V31" s="99"/>
    </row>
    <row r="32" spans="1:22" ht="14.25">
      <c r="A32" s="103"/>
      <c r="B32" s="123" t="s">
        <v>68</v>
      </c>
      <c r="C32" s="103"/>
      <c r="D32" s="103"/>
      <c r="E32" s="103"/>
      <c r="F32" s="103"/>
      <c r="G32" s="103"/>
      <c r="H32" s="103"/>
      <c r="I32" s="103"/>
      <c r="J32" s="99"/>
      <c r="K32" s="99"/>
      <c r="L32" s="99"/>
      <c r="M32" s="99"/>
      <c r="N32" s="99"/>
      <c r="O32" s="99"/>
      <c r="P32" s="99"/>
      <c r="Q32" s="99"/>
      <c r="R32" s="99"/>
      <c r="S32" s="99"/>
      <c r="T32" s="99"/>
      <c r="U32" s="99"/>
      <c r="V32" s="99"/>
    </row>
    <row r="33" spans="1:22" ht="12.75">
      <c r="A33" s="103"/>
      <c r="B33" s="103"/>
      <c r="C33" s="103"/>
      <c r="D33" s="103"/>
      <c r="E33" s="103"/>
      <c r="F33" s="103"/>
      <c r="G33" s="103"/>
      <c r="H33" s="103"/>
      <c r="I33" s="103"/>
      <c r="J33" s="99"/>
      <c r="K33" s="99"/>
      <c r="L33" s="99"/>
      <c r="M33" s="99"/>
      <c r="N33" s="99"/>
      <c r="O33" s="99"/>
      <c r="P33" s="99"/>
      <c r="Q33" s="99"/>
      <c r="R33" s="99"/>
      <c r="S33" s="99"/>
      <c r="T33" s="99"/>
      <c r="U33" s="99"/>
      <c r="V33" s="99"/>
    </row>
    <row r="34" spans="1:22" ht="12.75">
      <c r="A34" s="103"/>
      <c r="B34" s="103"/>
      <c r="C34" s="103"/>
      <c r="D34" s="103"/>
      <c r="E34" s="103"/>
      <c r="F34" s="103"/>
      <c r="G34" s="103"/>
      <c r="H34" s="103"/>
      <c r="I34" s="103"/>
      <c r="J34" s="99"/>
      <c r="K34" s="99"/>
      <c r="L34" s="99"/>
      <c r="M34" s="99"/>
      <c r="N34" s="99"/>
      <c r="O34" s="99"/>
      <c r="P34" s="99"/>
      <c r="Q34" s="99"/>
      <c r="R34" s="99"/>
      <c r="S34" s="99"/>
      <c r="T34" s="99"/>
      <c r="U34" s="99"/>
      <c r="V34" s="99"/>
    </row>
    <row r="35" spans="1:22" ht="12.75">
      <c r="A35" s="103"/>
      <c r="B35" s="103"/>
      <c r="C35" s="103"/>
      <c r="D35" s="103"/>
      <c r="E35" s="103"/>
      <c r="F35" s="103"/>
      <c r="G35" s="103"/>
      <c r="H35" s="103"/>
      <c r="I35" s="103"/>
      <c r="J35" s="99"/>
      <c r="K35" s="99"/>
      <c r="L35" s="99"/>
      <c r="M35" s="99"/>
      <c r="N35" s="99"/>
      <c r="O35" s="99"/>
      <c r="P35" s="99"/>
      <c r="Q35" s="99"/>
      <c r="R35" s="99"/>
      <c r="S35" s="99"/>
      <c r="T35" s="99"/>
      <c r="U35" s="99"/>
      <c r="V35" s="99"/>
    </row>
    <row r="36" spans="1:22" ht="12.75">
      <c r="A36" s="103"/>
      <c r="B36" s="103"/>
      <c r="C36" s="103"/>
      <c r="D36" s="103"/>
      <c r="E36" s="103"/>
      <c r="F36" s="103"/>
      <c r="G36" s="103"/>
      <c r="H36" s="103"/>
      <c r="I36" s="103"/>
      <c r="J36" s="99"/>
      <c r="K36" s="99"/>
      <c r="L36" s="99"/>
      <c r="M36" s="99"/>
      <c r="N36" s="99"/>
      <c r="O36" s="99"/>
      <c r="P36" s="99"/>
      <c r="Q36" s="99"/>
      <c r="R36" s="99"/>
      <c r="S36" s="99"/>
      <c r="T36" s="99"/>
      <c r="U36" s="99"/>
      <c r="V36" s="99"/>
    </row>
    <row r="37" spans="1:22" ht="12.75">
      <c r="A37" s="103"/>
      <c r="B37" s="103"/>
      <c r="C37" s="103"/>
      <c r="D37" s="103"/>
      <c r="E37" s="103"/>
      <c r="F37" s="103"/>
      <c r="G37" s="103"/>
      <c r="H37" s="103"/>
      <c r="I37" s="103"/>
      <c r="J37" s="99"/>
      <c r="K37" s="99"/>
      <c r="L37" s="99"/>
      <c r="M37" s="99"/>
      <c r="N37" s="99"/>
      <c r="O37" s="99"/>
      <c r="P37" s="99"/>
      <c r="Q37" s="99"/>
      <c r="R37" s="99"/>
      <c r="S37" s="99"/>
      <c r="T37" s="99"/>
      <c r="U37" s="99"/>
      <c r="V37" s="99"/>
    </row>
    <row r="38" spans="1:22" ht="12.75">
      <c r="A38" s="103"/>
      <c r="B38" s="103"/>
      <c r="C38" s="103"/>
      <c r="D38" s="103"/>
      <c r="E38" s="103"/>
      <c r="F38" s="103"/>
      <c r="G38" s="103"/>
      <c r="H38" s="103"/>
      <c r="I38" s="103"/>
      <c r="J38" s="99"/>
      <c r="K38" s="99"/>
      <c r="L38" s="99"/>
      <c r="M38" s="99"/>
      <c r="N38" s="99"/>
      <c r="O38" s="99"/>
      <c r="P38" s="99"/>
      <c r="Q38" s="99"/>
      <c r="R38" s="99"/>
      <c r="S38" s="99"/>
      <c r="T38" s="99"/>
      <c r="U38" s="99"/>
      <c r="V38" s="99"/>
    </row>
    <row r="39" spans="1:22" ht="12.75">
      <c r="A39" s="103"/>
      <c r="B39" s="103"/>
      <c r="C39" s="103"/>
      <c r="D39" s="103"/>
      <c r="E39" s="103"/>
      <c r="F39" s="103"/>
      <c r="G39" s="103"/>
      <c r="H39" s="103"/>
      <c r="I39" s="103"/>
      <c r="J39" s="99"/>
      <c r="K39" s="99"/>
      <c r="L39" s="99"/>
      <c r="M39" s="99"/>
      <c r="N39" s="99"/>
      <c r="O39" s="99"/>
      <c r="P39" s="99"/>
      <c r="Q39" s="99"/>
      <c r="R39" s="99"/>
      <c r="S39" s="99"/>
      <c r="T39" s="99"/>
      <c r="U39" s="99"/>
      <c r="V39" s="99"/>
    </row>
    <row r="40" spans="1:22" ht="12.75">
      <c r="A40" s="103"/>
      <c r="B40" s="103"/>
      <c r="C40" s="103"/>
      <c r="D40" s="103"/>
      <c r="E40" s="103"/>
      <c r="F40" s="103"/>
      <c r="G40" s="103"/>
      <c r="H40" s="103"/>
      <c r="I40" s="103"/>
      <c r="J40" s="99"/>
      <c r="K40" s="99"/>
      <c r="L40" s="99"/>
      <c r="M40" s="99"/>
      <c r="N40" s="99"/>
      <c r="O40" s="99"/>
      <c r="P40" s="99"/>
      <c r="Q40" s="99"/>
      <c r="R40" s="99"/>
      <c r="S40" s="99"/>
      <c r="T40" s="99"/>
      <c r="U40" s="99"/>
      <c r="V40" s="99"/>
    </row>
    <row r="41" spans="1:22" ht="12.75">
      <c r="A41" s="103"/>
      <c r="B41" s="103"/>
      <c r="C41" s="103"/>
      <c r="D41" s="103"/>
      <c r="E41" s="103"/>
      <c r="F41" s="103"/>
      <c r="G41" s="103"/>
      <c r="H41" s="103"/>
      <c r="I41" s="103"/>
      <c r="J41" s="99"/>
      <c r="K41" s="99"/>
      <c r="L41" s="99"/>
      <c r="M41" s="99"/>
      <c r="N41" s="99"/>
      <c r="O41" s="99"/>
      <c r="P41" s="99"/>
      <c r="Q41" s="99"/>
      <c r="R41" s="99"/>
      <c r="S41" s="99"/>
      <c r="T41" s="99"/>
      <c r="U41" s="99"/>
      <c r="V41" s="99"/>
    </row>
    <row r="42" spans="1:22" ht="12.75">
      <c r="A42" s="103"/>
      <c r="B42" s="103"/>
      <c r="C42" s="103"/>
      <c r="D42" s="103"/>
      <c r="E42" s="103"/>
      <c r="F42" s="103"/>
      <c r="G42" s="103"/>
      <c r="H42" s="103"/>
      <c r="I42" s="103"/>
      <c r="J42" s="99"/>
      <c r="K42" s="99"/>
      <c r="L42" s="99"/>
      <c r="M42" s="99"/>
      <c r="N42" s="99"/>
      <c r="O42" s="99"/>
      <c r="P42" s="99"/>
      <c r="Q42" s="99"/>
      <c r="R42" s="99"/>
      <c r="S42" s="99"/>
      <c r="T42" s="99"/>
      <c r="U42" s="99"/>
      <c r="V42" s="99"/>
    </row>
    <row r="43" spans="1:22" ht="12.75">
      <c r="A43" s="103"/>
      <c r="B43" s="103"/>
      <c r="C43" s="103"/>
      <c r="D43" s="103"/>
      <c r="E43" s="103"/>
      <c r="F43" s="103"/>
      <c r="G43" s="103"/>
      <c r="H43" s="103"/>
      <c r="I43" s="103"/>
      <c r="J43" s="99"/>
      <c r="K43" s="99"/>
      <c r="L43" s="99"/>
      <c r="M43" s="99"/>
      <c r="N43" s="99"/>
      <c r="O43" s="99"/>
      <c r="P43" s="99"/>
      <c r="Q43" s="99"/>
      <c r="R43" s="99"/>
      <c r="S43" s="99"/>
      <c r="T43" s="99"/>
      <c r="U43" s="99"/>
      <c r="V43" s="99"/>
    </row>
    <row r="44" spans="1:22" ht="12.75">
      <c r="A44" s="103"/>
      <c r="B44" s="103"/>
      <c r="C44" s="103"/>
      <c r="D44" s="103"/>
      <c r="E44" s="103"/>
      <c r="F44" s="103"/>
      <c r="G44" s="103"/>
      <c r="H44" s="103"/>
      <c r="I44" s="103"/>
      <c r="J44" s="99"/>
      <c r="K44" s="99"/>
      <c r="L44" s="99"/>
      <c r="M44" s="99"/>
      <c r="N44" s="99"/>
      <c r="O44" s="99"/>
      <c r="P44" s="99"/>
      <c r="Q44" s="99"/>
      <c r="R44" s="99"/>
      <c r="S44" s="99"/>
      <c r="T44" s="99"/>
      <c r="U44" s="99"/>
      <c r="V44" s="99"/>
    </row>
    <row r="45" spans="1:22" ht="12.75">
      <c r="A45" s="103"/>
      <c r="B45" s="103"/>
      <c r="C45" s="103"/>
      <c r="D45" s="103"/>
      <c r="E45" s="103"/>
      <c r="F45" s="103"/>
      <c r="G45" s="103"/>
      <c r="H45" s="103"/>
      <c r="I45" s="103"/>
      <c r="J45" s="99"/>
      <c r="K45" s="99"/>
      <c r="L45" s="99"/>
      <c r="M45" s="99"/>
      <c r="N45" s="99"/>
      <c r="O45" s="99"/>
      <c r="P45" s="99"/>
      <c r="Q45" s="99"/>
      <c r="R45" s="99"/>
      <c r="S45" s="99"/>
      <c r="T45" s="99"/>
      <c r="U45" s="99"/>
      <c r="V45" s="99"/>
    </row>
    <row r="46" spans="1:22" ht="12.75">
      <c r="A46" s="103"/>
      <c r="B46" s="103"/>
      <c r="C46" s="103"/>
      <c r="D46" s="103"/>
      <c r="E46" s="103"/>
      <c r="F46" s="103"/>
      <c r="G46" s="103"/>
      <c r="H46" s="103"/>
      <c r="I46" s="103"/>
      <c r="J46" s="99"/>
      <c r="K46" s="99"/>
      <c r="L46" s="99"/>
      <c r="M46" s="99"/>
      <c r="N46" s="99"/>
      <c r="O46" s="99"/>
      <c r="P46" s="99"/>
      <c r="Q46" s="99"/>
      <c r="R46" s="99"/>
      <c r="S46" s="99"/>
      <c r="T46" s="99"/>
      <c r="U46" s="99"/>
      <c r="V46" s="99"/>
    </row>
    <row r="47" spans="1:22" ht="12.75">
      <c r="A47" s="103"/>
      <c r="B47" s="103"/>
      <c r="C47" s="103"/>
      <c r="D47" s="103"/>
      <c r="E47" s="103"/>
      <c r="F47" s="103"/>
      <c r="G47" s="103"/>
      <c r="H47" s="103"/>
      <c r="I47" s="103"/>
      <c r="J47" s="99"/>
      <c r="K47" s="99"/>
      <c r="L47" s="99"/>
      <c r="M47" s="99"/>
      <c r="N47" s="99"/>
      <c r="O47" s="99"/>
      <c r="P47" s="99"/>
      <c r="Q47" s="99"/>
      <c r="R47" s="99"/>
      <c r="S47" s="99"/>
      <c r="T47" s="99"/>
      <c r="U47" s="99"/>
      <c r="V47" s="99"/>
    </row>
    <row r="48" spans="1:22" ht="12.75">
      <c r="A48" s="103"/>
      <c r="B48" s="103"/>
      <c r="C48" s="103"/>
      <c r="D48" s="103"/>
      <c r="E48" s="103"/>
      <c r="F48" s="103"/>
      <c r="G48" s="103"/>
      <c r="H48" s="103"/>
      <c r="I48" s="103"/>
      <c r="J48" s="99"/>
      <c r="K48" s="99"/>
      <c r="L48" s="99"/>
      <c r="M48" s="99"/>
      <c r="N48" s="99"/>
      <c r="O48" s="99"/>
      <c r="P48" s="99"/>
      <c r="Q48" s="99"/>
      <c r="R48" s="99"/>
      <c r="S48" s="99"/>
      <c r="T48" s="99"/>
      <c r="U48" s="99"/>
      <c r="V48" s="99"/>
    </row>
    <row r="49" spans="1:22" ht="12.75">
      <c r="A49" s="103"/>
      <c r="B49" s="103"/>
      <c r="C49" s="103"/>
      <c r="D49" s="103"/>
      <c r="E49" s="103"/>
      <c r="F49" s="103"/>
      <c r="G49" s="103"/>
      <c r="H49" s="103"/>
      <c r="I49" s="103"/>
      <c r="J49" s="99"/>
      <c r="K49" s="99"/>
      <c r="L49" s="99"/>
      <c r="M49" s="99"/>
      <c r="N49" s="99"/>
      <c r="O49" s="99"/>
      <c r="P49" s="99"/>
      <c r="Q49" s="99"/>
      <c r="R49" s="99"/>
      <c r="S49" s="99"/>
      <c r="T49" s="99"/>
      <c r="U49" s="99"/>
      <c r="V49" s="99"/>
    </row>
    <row r="50" spans="1:22" ht="12.75">
      <c r="A50" s="103"/>
      <c r="B50" s="103"/>
      <c r="C50" s="103"/>
      <c r="D50" s="103"/>
      <c r="E50" s="103"/>
      <c r="F50" s="103"/>
      <c r="G50" s="103"/>
      <c r="H50" s="103"/>
      <c r="I50" s="103"/>
      <c r="J50" s="99"/>
      <c r="K50" s="99"/>
      <c r="L50" s="99"/>
      <c r="M50" s="99"/>
      <c r="N50" s="99"/>
      <c r="O50" s="99"/>
      <c r="P50" s="99"/>
      <c r="Q50" s="99"/>
      <c r="R50" s="99"/>
      <c r="S50" s="99"/>
      <c r="T50" s="99"/>
      <c r="U50" s="99"/>
      <c r="V50" s="99"/>
    </row>
    <row r="51" spans="1:22" ht="12.75">
      <c r="A51" s="103"/>
      <c r="B51" s="103"/>
      <c r="C51" s="103"/>
      <c r="D51" s="103"/>
      <c r="E51" s="103"/>
      <c r="F51" s="103"/>
      <c r="G51" s="103"/>
      <c r="H51" s="103"/>
      <c r="I51" s="103"/>
      <c r="J51" s="99"/>
      <c r="K51" s="99"/>
      <c r="L51" s="99"/>
      <c r="M51" s="99"/>
      <c r="N51" s="99"/>
      <c r="O51" s="99"/>
      <c r="P51" s="99"/>
      <c r="Q51" s="99"/>
      <c r="R51" s="99"/>
      <c r="S51" s="99"/>
      <c r="T51" s="99"/>
      <c r="U51" s="99"/>
      <c r="V51" s="99"/>
    </row>
    <row r="52" spans="1:22" ht="12.75">
      <c r="A52" s="103"/>
      <c r="B52" s="103"/>
      <c r="C52" s="103"/>
      <c r="D52" s="103"/>
      <c r="E52" s="103"/>
      <c r="F52" s="103"/>
      <c r="G52" s="103"/>
      <c r="H52" s="103"/>
      <c r="I52" s="103"/>
      <c r="J52" s="99"/>
      <c r="K52" s="99"/>
      <c r="L52" s="99"/>
      <c r="M52" s="99"/>
      <c r="N52" s="99"/>
      <c r="O52" s="99"/>
      <c r="P52" s="99"/>
      <c r="Q52" s="99"/>
      <c r="R52" s="99"/>
      <c r="S52" s="99"/>
      <c r="T52" s="99"/>
      <c r="U52" s="99"/>
      <c r="V52" s="99"/>
    </row>
    <row r="53" spans="1:22" ht="12.75">
      <c r="A53" s="103"/>
      <c r="B53" s="103"/>
      <c r="C53" s="103"/>
      <c r="D53" s="103"/>
      <c r="E53" s="103"/>
      <c r="F53" s="103"/>
      <c r="G53" s="103"/>
      <c r="H53" s="103"/>
      <c r="I53" s="103"/>
      <c r="J53" s="99"/>
      <c r="K53" s="99"/>
      <c r="L53" s="99"/>
      <c r="M53" s="99"/>
      <c r="N53" s="99"/>
      <c r="O53" s="99"/>
      <c r="P53" s="99"/>
      <c r="Q53" s="99"/>
      <c r="R53" s="99"/>
      <c r="S53" s="99"/>
      <c r="T53" s="99"/>
      <c r="U53" s="99"/>
      <c r="V53" s="99"/>
    </row>
    <row r="54" spans="1:22" ht="12.75">
      <c r="A54" s="99"/>
      <c r="B54" s="99"/>
      <c r="C54" s="99"/>
      <c r="D54" s="99"/>
      <c r="E54" s="99"/>
      <c r="F54" s="99"/>
      <c r="G54" s="99"/>
      <c r="H54" s="99"/>
      <c r="I54" s="99"/>
      <c r="J54" s="99"/>
      <c r="K54" s="99"/>
      <c r="L54" s="99"/>
      <c r="M54" s="99"/>
      <c r="N54" s="99"/>
      <c r="O54" s="99"/>
      <c r="P54" s="99"/>
      <c r="Q54" s="99"/>
      <c r="R54" s="99"/>
      <c r="S54" s="99"/>
      <c r="T54" s="99"/>
      <c r="U54" s="99"/>
      <c r="V54" s="99"/>
    </row>
    <row r="55" spans="1:22" ht="12.75">
      <c r="A55" s="99"/>
      <c r="B55" s="99"/>
      <c r="C55" s="99"/>
      <c r="D55" s="99"/>
      <c r="E55" s="99"/>
      <c r="F55" s="99"/>
      <c r="G55" s="99"/>
      <c r="H55" s="99"/>
      <c r="I55" s="99"/>
      <c r="J55" s="99"/>
      <c r="K55" s="99"/>
      <c r="L55" s="99"/>
      <c r="M55" s="99"/>
      <c r="N55" s="99"/>
      <c r="O55" s="99"/>
      <c r="P55" s="99"/>
      <c r="Q55" s="99"/>
      <c r="R55" s="99"/>
      <c r="S55" s="99"/>
      <c r="T55" s="99"/>
      <c r="U55" s="99"/>
      <c r="V55" s="99"/>
    </row>
    <row r="56" spans="1:22" ht="12.75">
      <c r="A56" s="99"/>
      <c r="B56" s="99"/>
      <c r="C56" s="99"/>
      <c r="D56" s="99"/>
      <c r="E56" s="99"/>
      <c r="F56" s="99"/>
      <c r="G56" s="99"/>
      <c r="H56" s="99"/>
      <c r="I56" s="99"/>
      <c r="J56" s="99"/>
      <c r="K56" s="99"/>
      <c r="L56" s="99"/>
      <c r="M56" s="99"/>
      <c r="N56" s="99"/>
      <c r="O56" s="99"/>
      <c r="P56" s="99"/>
      <c r="Q56" s="99"/>
      <c r="R56" s="99"/>
      <c r="S56" s="99"/>
      <c r="T56" s="99"/>
      <c r="U56" s="99"/>
      <c r="V56" s="99"/>
    </row>
    <row r="57" spans="1:22" ht="12.75">
      <c r="A57" s="99"/>
      <c r="B57" s="99"/>
      <c r="C57" s="99"/>
      <c r="D57" s="99"/>
      <c r="E57" s="99"/>
      <c r="F57" s="99"/>
      <c r="G57" s="99"/>
      <c r="H57" s="99"/>
      <c r="I57" s="99"/>
      <c r="J57" s="99"/>
      <c r="K57" s="99"/>
      <c r="L57" s="99"/>
      <c r="M57" s="99"/>
      <c r="N57" s="99"/>
      <c r="O57" s="99"/>
      <c r="P57" s="99"/>
      <c r="Q57" s="99"/>
      <c r="R57" s="99"/>
      <c r="S57" s="99"/>
      <c r="T57" s="99"/>
      <c r="U57" s="99"/>
      <c r="V57" s="99"/>
    </row>
    <row r="58" spans="1:22" ht="12.75">
      <c r="A58" s="99"/>
      <c r="B58" s="99"/>
      <c r="C58" s="99"/>
      <c r="D58" s="99"/>
      <c r="E58" s="99"/>
      <c r="F58" s="99"/>
      <c r="G58" s="99"/>
      <c r="H58" s="99"/>
      <c r="I58" s="99"/>
      <c r="J58" s="99"/>
      <c r="K58" s="99"/>
      <c r="L58" s="99"/>
      <c r="M58" s="99"/>
      <c r="N58" s="99"/>
      <c r="O58" s="99"/>
      <c r="P58" s="99"/>
      <c r="Q58" s="99"/>
      <c r="R58" s="99"/>
      <c r="S58" s="99"/>
      <c r="T58" s="99"/>
      <c r="U58" s="99"/>
      <c r="V58" s="99"/>
    </row>
    <row r="59" spans="1:22" ht="12.75">
      <c r="A59" s="99"/>
      <c r="B59" s="99"/>
      <c r="C59" s="99"/>
      <c r="D59" s="99"/>
      <c r="E59" s="99"/>
      <c r="F59" s="99"/>
      <c r="G59" s="99"/>
      <c r="H59" s="99"/>
      <c r="I59" s="99"/>
      <c r="J59" s="99"/>
      <c r="K59" s="99"/>
      <c r="L59" s="99"/>
      <c r="M59" s="99"/>
      <c r="N59" s="99"/>
      <c r="O59" s="99"/>
      <c r="P59" s="99"/>
      <c r="Q59" s="99"/>
      <c r="R59" s="99"/>
      <c r="S59" s="99"/>
      <c r="T59" s="99"/>
      <c r="U59" s="99"/>
      <c r="V59" s="99"/>
    </row>
    <row r="60" spans="1:22" ht="12.75">
      <c r="A60" s="99"/>
      <c r="B60" s="99"/>
      <c r="C60" s="99"/>
      <c r="D60" s="99"/>
      <c r="E60" s="99"/>
      <c r="F60" s="99"/>
      <c r="G60" s="99"/>
      <c r="H60" s="99"/>
      <c r="I60" s="99"/>
      <c r="J60" s="99"/>
      <c r="K60" s="99"/>
      <c r="L60" s="99"/>
      <c r="M60" s="99"/>
      <c r="N60" s="99"/>
      <c r="O60" s="99"/>
      <c r="P60" s="99"/>
      <c r="Q60" s="99"/>
      <c r="R60" s="99"/>
      <c r="S60" s="99"/>
      <c r="T60" s="99"/>
      <c r="U60" s="99"/>
      <c r="V60" s="99"/>
    </row>
    <row r="61" spans="1:22" ht="12.75">
      <c r="A61" s="99"/>
      <c r="B61" s="99"/>
      <c r="C61" s="99"/>
      <c r="D61" s="99"/>
      <c r="E61" s="99"/>
      <c r="F61" s="99"/>
      <c r="G61" s="99"/>
      <c r="H61" s="99"/>
      <c r="I61" s="99"/>
      <c r="J61" s="99"/>
      <c r="K61" s="99"/>
      <c r="L61" s="99"/>
      <c r="M61" s="99"/>
      <c r="N61" s="99"/>
      <c r="O61" s="99"/>
      <c r="P61" s="99"/>
      <c r="Q61" s="99"/>
      <c r="R61" s="99"/>
      <c r="S61" s="99"/>
      <c r="T61" s="99"/>
      <c r="U61" s="99"/>
      <c r="V61" s="99"/>
    </row>
    <row r="62" spans="1:22" ht="12.75">
      <c r="A62" s="99"/>
      <c r="B62" s="99"/>
      <c r="C62" s="99"/>
      <c r="D62" s="99"/>
      <c r="E62" s="99"/>
      <c r="F62" s="99"/>
      <c r="G62" s="99"/>
      <c r="H62" s="99"/>
      <c r="I62" s="99"/>
      <c r="J62" s="99"/>
      <c r="K62" s="99"/>
      <c r="L62" s="99"/>
      <c r="M62" s="99"/>
      <c r="N62" s="99"/>
      <c r="O62" s="99"/>
      <c r="P62" s="99"/>
      <c r="Q62" s="99"/>
      <c r="R62" s="99"/>
      <c r="S62" s="99"/>
      <c r="T62" s="99"/>
      <c r="U62" s="99"/>
      <c r="V62" s="99"/>
    </row>
    <row r="63" spans="1:22" ht="12.75">
      <c r="A63" s="99"/>
      <c r="B63" s="99"/>
      <c r="C63" s="99"/>
      <c r="D63" s="99"/>
      <c r="E63" s="99"/>
      <c r="F63" s="99"/>
      <c r="G63" s="99"/>
      <c r="H63" s="99"/>
      <c r="I63" s="99"/>
      <c r="J63" s="99"/>
      <c r="K63" s="99"/>
      <c r="L63" s="99"/>
      <c r="M63" s="99"/>
      <c r="N63" s="99"/>
      <c r="O63" s="99"/>
      <c r="P63" s="99"/>
      <c r="Q63" s="99"/>
      <c r="R63" s="99"/>
      <c r="S63" s="99"/>
      <c r="T63" s="99"/>
      <c r="U63" s="99"/>
      <c r="V63" s="99"/>
    </row>
    <row r="64" spans="1:22" ht="12.75">
      <c r="A64" s="99"/>
      <c r="B64" s="99"/>
      <c r="C64" s="99"/>
      <c r="D64" s="99"/>
      <c r="E64" s="99"/>
      <c r="F64" s="99"/>
      <c r="G64" s="99"/>
      <c r="H64" s="99"/>
      <c r="I64" s="99"/>
      <c r="J64" s="99"/>
      <c r="K64" s="99"/>
      <c r="L64" s="99"/>
      <c r="M64" s="99"/>
      <c r="N64" s="99"/>
      <c r="O64" s="99"/>
      <c r="P64" s="99"/>
      <c r="Q64" s="99"/>
      <c r="R64" s="99"/>
      <c r="S64" s="99"/>
      <c r="T64" s="99"/>
      <c r="U64" s="99"/>
      <c r="V64" s="99"/>
    </row>
    <row r="65" spans="1:22" ht="12.75">
      <c r="A65" s="99"/>
      <c r="B65" s="99"/>
      <c r="C65" s="99"/>
      <c r="D65" s="99"/>
      <c r="E65" s="99"/>
      <c r="F65" s="99"/>
      <c r="G65" s="99"/>
      <c r="H65" s="99"/>
      <c r="I65" s="99"/>
      <c r="J65" s="99"/>
      <c r="K65" s="99"/>
      <c r="L65" s="99"/>
      <c r="M65" s="99"/>
      <c r="N65" s="99"/>
      <c r="O65" s="99"/>
      <c r="P65" s="99"/>
      <c r="Q65" s="99"/>
      <c r="R65" s="99"/>
      <c r="S65" s="99"/>
      <c r="T65" s="99"/>
      <c r="U65" s="99"/>
      <c r="V65" s="99"/>
    </row>
    <row r="66" spans="1:22" ht="12.75">
      <c r="A66" s="99"/>
      <c r="B66" s="99"/>
      <c r="C66" s="99"/>
      <c r="D66" s="99"/>
      <c r="E66" s="99"/>
      <c r="F66" s="99"/>
      <c r="G66" s="99"/>
      <c r="H66" s="99"/>
      <c r="I66" s="99"/>
      <c r="J66" s="99"/>
      <c r="K66" s="99"/>
      <c r="L66" s="99"/>
      <c r="M66" s="99"/>
      <c r="N66" s="99"/>
      <c r="O66" s="99"/>
      <c r="P66" s="99"/>
      <c r="Q66" s="99"/>
      <c r="R66" s="99"/>
      <c r="S66" s="99"/>
      <c r="T66" s="99"/>
      <c r="U66" s="99"/>
      <c r="V66" s="99"/>
    </row>
    <row r="67" spans="1:22" ht="12.75">
      <c r="A67" s="99"/>
      <c r="B67" s="99"/>
      <c r="C67" s="99"/>
      <c r="D67" s="99"/>
      <c r="E67" s="99"/>
      <c r="F67" s="99"/>
      <c r="G67" s="99"/>
      <c r="H67" s="99"/>
      <c r="I67" s="99"/>
      <c r="J67" s="99"/>
      <c r="K67" s="99"/>
      <c r="L67" s="99"/>
      <c r="M67" s="99"/>
      <c r="N67" s="99"/>
      <c r="O67" s="99"/>
      <c r="P67" s="99"/>
      <c r="Q67" s="99"/>
      <c r="R67" s="99"/>
      <c r="S67" s="99"/>
      <c r="T67" s="99"/>
      <c r="U67" s="99"/>
      <c r="V67" s="99"/>
    </row>
  </sheetData>
  <printOptions/>
  <pageMargins left="0.75" right="0.75" top="1" bottom="1"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A1:S66"/>
  <sheetViews>
    <sheetView tabSelected="1" zoomScale="75" zoomScaleNormal="75" zoomScaleSheetLayoutView="75" workbookViewId="0" topLeftCell="A15">
      <selection activeCell="K31" sqref="K31"/>
    </sheetView>
  </sheetViews>
  <sheetFormatPr defaultColWidth="11.421875" defaultRowHeight="12.75"/>
  <cols>
    <col min="1" max="1" width="4.00390625" style="0" customWidth="1"/>
    <col min="9" max="9" width="9.00390625" style="0" customWidth="1"/>
  </cols>
  <sheetData>
    <row r="1" spans="1:19" ht="15">
      <c r="A1" s="103"/>
      <c r="B1" s="118" t="s">
        <v>65</v>
      </c>
      <c r="C1" s="118"/>
      <c r="D1" s="117"/>
      <c r="E1" s="117"/>
      <c r="F1" s="117"/>
      <c r="G1" s="117"/>
      <c r="H1" s="117"/>
      <c r="I1" s="119"/>
      <c r="J1" s="99"/>
      <c r="K1" s="99"/>
      <c r="L1" s="99"/>
      <c r="M1" s="99"/>
      <c r="N1" s="99"/>
      <c r="O1" s="99"/>
      <c r="P1" s="99"/>
      <c r="Q1" s="99"/>
      <c r="R1" s="99"/>
      <c r="S1" s="99"/>
    </row>
    <row r="2" spans="1:19" ht="15">
      <c r="A2" s="103"/>
      <c r="B2" s="118" t="s">
        <v>53</v>
      </c>
      <c r="C2" s="118"/>
      <c r="D2" s="117"/>
      <c r="E2" s="117"/>
      <c r="F2" s="117"/>
      <c r="G2" s="117"/>
      <c r="H2" s="117"/>
      <c r="I2" s="119"/>
      <c r="J2" s="99"/>
      <c r="K2" s="99"/>
      <c r="L2" s="99"/>
      <c r="M2" s="99"/>
      <c r="N2" s="99"/>
      <c r="O2" s="99"/>
      <c r="P2" s="99"/>
      <c r="Q2" s="99"/>
      <c r="R2" s="99"/>
      <c r="S2" s="99"/>
    </row>
    <row r="3" spans="1:19" ht="12.75">
      <c r="A3" s="103"/>
      <c r="B3" s="120"/>
      <c r="C3" s="103"/>
      <c r="D3" s="103"/>
      <c r="E3" s="103"/>
      <c r="F3" s="103"/>
      <c r="G3" s="116"/>
      <c r="H3" s="116"/>
      <c r="I3" s="103"/>
      <c r="J3" s="99"/>
      <c r="K3" s="99"/>
      <c r="L3" s="99"/>
      <c r="M3" s="99"/>
      <c r="N3" s="99"/>
      <c r="O3" s="99"/>
      <c r="P3" s="99"/>
      <c r="Q3" s="99"/>
      <c r="R3" s="99"/>
      <c r="S3" s="99"/>
    </row>
    <row r="4" spans="1:19" ht="12.75">
      <c r="A4" s="103"/>
      <c r="B4" s="125" t="s">
        <v>0</v>
      </c>
      <c r="C4" s="126" t="s">
        <v>5</v>
      </c>
      <c r="D4" s="127"/>
      <c r="E4" s="127"/>
      <c r="F4" s="127"/>
      <c r="G4" s="127"/>
      <c r="H4" s="127"/>
      <c r="I4" s="103"/>
      <c r="J4" s="99"/>
      <c r="K4" s="99"/>
      <c r="L4" s="99"/>
      <c r="M4" s="99"/>
      <c r="N4" s="99"/>
      <c r="O4" s="99"/>
      <c r="P4" s="99"/>
      <c r="Q4" s="99"/>
      <c r="R4" s="99"/>
      <c r="S4" s="99"/>
    </row>
    <row r="5" spans="1:19" ht="12.75">
      <c r="A5" s="103"/>
      <c r="B5" s="128">
        <f>Informe!D18</f>
        <v>0</v>
      </c>
      <c r="C5" s="121"/>
      <c r="D5" s="127"/>
      <c r="E5" s="127"/>
      <c r="F5" s="127"/>
      <c r="G5" s="127"/>
      <c r="H5" s="127"/>
      <c r="I5" s="103"/>
      <c r="J5" s="99"/>
      <c r="K5" s="99"/>
      <c r="L5" s="99"/>
      <c r="M5" s="99"/>
      <c r="N5" s="99"/>
      <c r="O5" s="99"/>
      <c r="P5" s="99"/>
      <c r="Q5" s="99"/>
      <c r="R5" s="99"/>
      <c r="S5" s="99"/>
    </row>
    <row r="6" spans="1:19" ht="12.75">
      <c r="A6" s="103"/>
      <c r="B6" s="128">
        <f>Informe!D17</f>
        <v>7000</v>
      </c>
      <c r="C6" s="121"/>
      <c r="D6" s="127"/>
      <c r="E6" s="127"/>
      <c r="F6" s="127"/>
      <c r="G6" s="127"/>
      <c r="H6" s="127"/>
      <c r="I6" s="103"/>
      <c r="J6" s="99"/>
      <c r="K6" s="99"/>
      <c r="L6" s="99"/>
      <c r="M6" s="99"/>
      <c r="N6" s="99"/>
      <c r="O6" s="99"/>
      <c r="P6" s="99"/>
      <c r="Q6" s="99"/>
      <c r="R6" s="99"/>
      <c r="S6" s="99"/>
    </row>
    <row r="7" spans="1:19" ht="12.75">
      <c r="A7" s="103"/>
      <c r="B7" s="128">
        <f>Informe!D18</f>
        <v>0</v>
      </c>
      <c r="C7" s="121"/>
      <c r="D7" s="127"/>
      <c r="E7" s="127"/>
      <c r="F7" s="127"/>
      <c r="G7" s="127"/>
      <c r="H7" s="127"/>
      <c r="I7" s="103"/>
      <c r="J7" s="99"/>
      <c r="K7" s="99"/>
      <c r="L7" s="99"/>
      <c r="M7" s="99"/>
      <c r="N7" s="99"/>
      <c r="O7" s="99"/>
      <c r="P7" s="99"/>
      <c r="Q7" s="99"/>
      <c r="R7" s="99"/>
      <c r="S7" s="99"/>
    </row>
    <row r="8" spans="1:19" ht="12.75">
      <c r="A8" s="103"/>
      <c r="B8" s="128">
        <f>Informe!D17</f>
        <v>7000</v>
      </c>
      <c r="C8" s="121"/>
      <c r="D8" s="127"/>
      <c r="E8" s="127"/>
      <c r="F8" s="127"/>
      <c r="G8" s="127"/>
      <c r="H8" s="247"/>
      <c r="I8" s="103"/>
      <c r="J8" s="99"/>
      <c r="K8" s="99"/>
      <c r="L8" s="99"/>
      <c r="M8" s="99"/>
      <c r="N8" s="99"/>
      <c r="O8" s="99"/>
      <c r="P8" s="99"/>
      <c r="Q8" s="99"/>
      <c r="R8" s="99"/>
      <c r="S8" s="99"/>
    </row>
    <row r="9" spans="1:19" ht="12.75" customHeight="1">
      <c r="A9" s="103"/>
      <c r="B9" s="128">
        <f>Informe!D18</f>
        <v>0</v>
      </c>
      <c r="C9" s="121"/>
      <c r="D9" s="124"/>
      <c r="E9" s="127"/>
      <c r="F9" s="127"/>
      <c r="G9" s="247" t="s">
        <v>70</v>
      </c>
      <c r="H9" s="245"/>
      <c r="I9" s="103"/>
      <c r="J9" s="99"/>
      <c r="K9" s="99"/>
      <c r="L9" s="99"/>
      <c r="M9" s="99"/>
      <c r="N9" s="99"/>
      <c r="O9" s="99"/>
      <c r="P9" s="99"/>
      <c r="Q9" s="99"/>
      <c r="R9" s="99"/>
      <c r="S9" s="99"/>
    </row>
    <row r="10" spans="1:19" ht="12.75">
      <c r="A10" s="103"/>
      <c r="B10" s="128">
        <f>Informe!D17</f>
        <v>7000</v>
      </c>
      <c r="C10" s="121"/>
      <c r="D10" s="129"/>
      <c r="E10" s="127"/>
      <c r="F10" s="130"/>
      <c r="G10" s="252"/>
      <c r="H10" s="245"/>
      <c r="I10" s="103"/>
      <c r="J10" s="99"/>
      <c r="K10" s="99"/>
      <c r="L10" s="99"/>
      <c r="M10" s="99"/>
      <c r="N10" s="99"/>
      <c r="O10" s="99"/>
      <c r="P10" s="99"/>
      <c r="Q10" s="99"/>
      <c r="R10" s="99"/>
      <c r="S10" s="99"/>
    </row>
    <row r="11" spans="1:19" ht="12.75">
      <c r="A11" s="103"/>
      <c r="B11" s="128">
        <f>Informe!D18</f>
        <v>0</v>
      </c>
      <c r="C11" s="121"/>
      <c r="D11" s="103"/>
      <c r="E11" s="103"/>
      <c r="F11" s="103"/>
      <c r="G11" s="252"/>
      <c r="H11" s="245"/>
      <c r="I11" s="103"/>
      <c r="J11" s="99"/>
      <c r="K11" s="99"/>
      <c r="L11" s="99"/>
      <c r="M11" s="99"/>
      <c r="N11" s="99"/>
      <c r="O11" s="99"/>
      <c r="P11" s="99"/>
      <c r="Q11" s="99"/>
      <c r="R11" s="99"/>
      <c r="S11" s="99"/>
    </row>
    <row r="12" spans="1:19" ht="13.5" thickBot="1">
      <c r="A12" s="103"/>
      <c r="B12" s="131"/>
      <c r="C12" s="103"/>
      <c r="D12" s="103"/>
      <c r="E12" s="103"/>
      <c r="F12" s="103"/>
      <c r="G12" s="103"/>
      <c r="H12" s="103"/>
      <c r="I12" s="103"/>
      <c r="J12" s="99"/>
      <c r="K12" s="99"/>
      <c r="L12" s="99"/>
      <c r="M12" s="99"/>
      <c r="N12" s="99"/>
      <c r="O12" s="99"/>
      <c r="P12" s="99"/>
      <c r="Q12" s="99"/>
      <c r="R12" s="99"/>
      <c r="S12" s="99"/>
    </row>
    <row r="13" spans="1:19" ht="43.5" customHeight="1" thickBot="1">
      <c r="A13" s="103"/>
      <c r="B13" s="81" t="s">
        <v>0</v>
      </c>
      <c r="C13" s="82" t="s">
        <v>1</v>
      </c>
      <c r="D13" s="76" t="s">
        <v>5</v>
      </c>
      <c r="E13" s="76" t="s">
        <v>6</v>
      </c>
      <c r="F13" s="76" t="s">
        <v>15</v>
      </c>
      <c r="G13" s="77" t="s">
        <v>16</v>
      </c>
      <c r="H13" s="78" t="s">
        <v>62</v>
      </c>
      <c r="I13" s="103"/>
      <c r="J13" s="99"/>
      <c r="K13" s="99"/>
      <c r="L13" s="99"/>
      <c r="M13" s="99"/>
      <c r="N13" s="99"/>
      <c r="O13" s="99"/>
      <c r="P13" s="99"/>
      <c r="Q13" s="99"/>
      <c r="R13" s="99"/>
      <c r="S13" s="99"/>
    </row>
    <row r="14" spans="1:19" ht="12.75">
      <c r="A14" s="103"/>
      <c r="B14" s="2">
        <f>'Tabla A1'!B18</f>
        <v>0</v>
      </c>
      <c r="C14" s="67">
        <f>(B14*1000)/9.81</f>
        <v>0</v>
      </c>
      <c r="D14" s="67">
        <f>Lecturas!D30</f>
        <v>-0.0009899999713525176</v>
      </c>
      <c r="E14" s="83"/>
      <c r="F14" s="67"/>
      <c r="G14" s="84"/>
      <c r="H14" s="80"/>
      <c r="I14" s="103"/>
      <c r="J14" s="99"/>
      <c r="K14" s="99"/>
      <c r="L14" s="99"/>
      <c r="M14" s="99"/>
      <c r="N14" s="99"/>
      <c r="O14" s="99"/>
      <c r="P14" s="99"/>
      <c r="Q14" s="99"/>
      <c r="R14" s="99"/>
      <c r="S14" s="99"/>
    </row>
    <row r="15" spans="1:19" ht="12.75">
      <c r="A15" s="103"/>
      <c r="B15" s="211">
        <f>Informe!$F$17</f>
        <v>68.595625</v>
      </c>
      <c r="C15" s="17">
        <f>(B15*1000)/Informe!$E$40</f>
        <v>7000</v>
      </c>
      <c r="D15" s="17">
        <f>Lecturas!D31</f>
        <v>1.9965009689331055</v>
      </c>
      <c r="E15" s="19">
        <f>Lecturas!B31</f>
        <v>0</v>
      </c>
      <c r="F15" s="17"/>
      <c r="G15" s="27">
        <f>IF(AND('tabla A5'!C15&lt;=Auxiliar!$C$11,'tabla A5'!C15&gt;=0),0.7*0.5*Informe!$D$24,IF(AND('tabla A5'!C15&gt;Auxiliar!$C$11,'tabla A5'!C15&lt;=Auxiliar!$C$12),0.7*Informe!$D$24,IF(AND('tabla A5'!C15&gt;Auxiliar!$C$12,'tabla A5'!C15&lt;=Auxiliar!$C$13),0.7*1.5*Informe!$D$24)))</f>
        <v>0.7349999999999999</v>
      </c>
      <c r="H15" s="69" t="str">
        <f aca="true" t="shared" si="0" ref="H15:H31">IF(ABS(F15)&lt;G15,"favorable","desfavorable")</f>
        <v>favorable</v>
      </c>
      <c r="I15" s="103"/>
      <c r="J15" s="99"/>
      <c r="K15" s="99"/>
      <c r="L15" s="99"/>
      <c r="M15" s="99"/>
      <c r="N15" s="99"/>
      <c r="O15" s="99"/>
      <c r="P15" s="99"/>
      <c r="Q15" s="99"/>
      <c r="R15" s="99"/>
      <c r="S15" s="99"/>
    </row>
    <row r="16" spans="1:19" ht="12.75">
      <c r="A16" s="103"/>
      <c r="B16" s="211">
        <f>Informe!$F$17</f>
        <v>68.595625</v>
      </c>
      <c r="C16" s="17">
        <f>(B16*1000)/Informe!$E$40</f>
        <v>7000</v>
      </c>
      <c r="D16" s="17">
        <f>Lecturas!D32</f>
        <v>1.9963128566741943</v>
      </c>
      <c r="E16" s="19">
        <f>Lecturas!B32</f>
        <v>0.001388888888888889</v>
      </c>
      <c r="F16" s="17">
        <f>($D$15-D16)/'Tabla A1'!$B$46</f>
        <v>0.2833402324585734</v>
      </c>
      <c r="G16" s="27">
        <f>IF(AND('tabla A5'!C16&lt;=Auxiliar!$C$11,'tabla A5'!C16&gt;=0),0.7*0.5*Informe!$D$24,IF(AND('tabla A5'!C16&gt;Auxiliar!$C$11,'tabla A5'!C16&lt;=Auxiliar!$C$12),0.7*Informe!$D$24,IF(AND('tabla A5'!C16&gt;Auxiliar!$C$12,'tabla A5'!C16&lt;=Auxiliar!$C$13),0.7*1.5*Informe!$D$24)))</f>
        <v>0.7349999999999999</v>
      </c>
      <c r="H16" s="69" t="str">
        <f t="shared" si="0"/>
        <v>favorable</v>
      </c>
      <c r="I16" s="103"/>
      <c r="J16" s="99"/>
      <c r="K16" s="99"/>
      <c r="L16" s="99"/>
      <c r="M16" s="99"/>
      <c r="N16" s="99"/>
      <c r="O16" s="99"/>
      <c r="P16" s="99"/>
      <c r="Q16" s="99"/>
      <c r="R16" s="99"/>
      <c r="S16" s="99"/>
    </row>
    <row r="17" spans="1:19" ht="12.75">
      <c r="A17" s="103"/>
      <c r="B17" s="211">
        <f>Informe!$F$17</f>
        <v>68.595625</v>
      </c>
      <c r="C17" s="17">
        <f>(B17*1000)/Informe!$E$40</f>
        <v>7000</v>
      </c>
      <c r="D17" s="17">
        <f>Lecturas!D33</f>
        <v>1.9961628913879395</v>
      </c>
      <c r="E17" s="19">
        <f>Lecturas!B33</f>
        <v>0.002824074074074074</v>
      </c>
      <c r="F17" s="17">
        <f>($D$15-D17)/'Tabla A1'!$B$46</f>
        <v>0.5092223696150281</v>
      </c>
      <c r="G17" s="27">
        <f>IF(AND('tabla A5'!C17&lt;=Auxiliar!$C$11,'tabla A5'!C17&gt;=0),0.7*0.5*Informe!$D$24,IF(AND('tabla A5'!C17&gt;Auxiliar!$C$11,'tabla A5'!C17&lt;=Auxiliar!$C$12),0.7*Informe!$D$24,IF(AND('tabla A5'!C17&gt;Auxiliar!$C$12,'tabla A5'!C17&lt;=Auxiliar!$C$13),0.7*1.5*Informe!$D$24)))</f>
        <v>0.7349999999999999</v>
      </c>
      <c r="H17" s="69" t="str">
        <f t="shared" si="0"/>
        <v>favorable</v>
      </c>
      <c r="I17" s="103"/>
      <c r="J17" s="99"/>
      <c r="K17" s="99"/>
      <c r="L17" s="99"/>
      <c r="M17" s="99"/>
      <c r="N17" s="99"/>
      <c r="O17" s="99"/>
      <c r="P17" s="99"/>
      <c r="Q17" s="99"/>
      <c r="R17" s="99"/>
      <c r="S17" s="99"/>
    </row>
    <row r="18" spans="1:19" ht="12.75">
      <c r="A18" s="103"/>
      <c r="B18" s="211">
        <f>Informe!$F$17</f>
        <v>68.595625</v>
      </c>
      <c r="C18" s="17">
        <f>(B18*1000)/Informe!$E$40</f>
        <v>7000</v>
      </c>
      <c r="D18" s="17">
        <f>Lecturas!D34</f>
        <v>1.9961671829223633</v>
      </c>
      <c r="E18" s="19">
        <f>Lecturas!B34</f>
        <v>0.0042824074074074075</v>
      </c>
      <c r="F18" s="17">
        <f>($D$15-D18)/'Tabla A1'!$B$46</f>
        <v>0.5027583338935396</v>
      </c>
      <c r="G18" s="27">
        <f>IF(AND('tabla A5'!C18&lt;=Auxiliar!$C$11,'tabla A5'!C18&gt;=0),0.7*0.5*Informe!$D$24,IF(AND('tabla A5'!C18&gt;Auxiliar!$C$11,'tabla A5'!C18&lt;=Auxiliar!$C$12),0.7*Informe!$D$24,IF(AND('tabla A5'!C18&gt;Auxiliar!$C$12,'tabla A5'!C18&lt;=Auxiliar!$C$13),0.7*1.5*Informe!$D$24)))</f>
        <v>0.7349999999999999</v>
      </c>
      <c r="H18" s="69" t="str">
        <f t="shared" si="0"/>
        <v>favorable</v>
      </c>
      <c r="I18" s="103"/>
      <c r="J18" s="99"/>
      <c r="K18" s="99"/>
      <c r="L18" s="99"/>
      <c r="M18" s="99"/>
      <c r="N18" s="99"/>
      <c r="O18" s="99"/>
      <c r="P18" s="99"/>
      <c r="Q18" s="99"/>
      <c r="R18" s="99"/>
      <c r="S18" s="99"/>
    </row>
    <row r="19" spans="1:19" ht="12.75">
      <c r="A19" s="103"/>
      <c r="B19" s="211">
        <f>Informe!$F$17</f>
        <v>68.595625</v>
      </c>
      <c r="C19" s="17">
        <f>(B19*1000)/Informe!$E$40</f>
        <v>7000</v>
      </c>
      <c r="D19" s="17">
        <f>Lecturas!D35</f>
        <v>1.996090054512024</v>
      </c>
      <c r="E19" s="19">
        <f>Lecturas!B35</f>
        <v>0.005555555555555556</v>
      </c>
      <c r="F19" s="17">
        <f>($D$15-D19)/'Tabla A1'!$B$46</f>
        <v>0.6189314203325111</v>
      </c>
      <c r="G19" s="27">
        <f>IF(AND('tabla A5'!C19&lt;=Auxiliar!$C$11,'tabla A5'!C19&gt;=0),0.7*0.5*Informe!$D$24,IF(AND('tabla A5'!C19&gt;Auxiliar!$C$11,'tabla A5'!C19&lt;=Auxiliar!$C$12),0.7*Informe!$D$24,IF(AND('tabla A5'!C19&gt;Auxiliar!$C$12,'tabla A5'!C19&lt;=Auxiliar!$C$13),0.7*1.5*Informe!$D$24)))</f>
        <v>0.7349999999999999</v>
      </c>
      <c r="H19" s="69" t="str">
        <f t="shared" si="0"/>
        <v>favorable</v>
      </c>
      <c r="I19" s="103"/>
      <c r="J19" s="99"/>
      <c r="K19" s="99"/>
      <c r="L19" s="99"/>
      <c r="M19" s="99"/>
      <c r="N19" s="99"/>
      <c r="O19" s="99"/>
      <c r="P19" s="99"/>
      <c r="Q19" s="99"/>
      <c r="R19" s="99"/>
      <c r="S19" s="99"/>
    </row>
    <row r="20" spans="1:19" ht="12.75">
      <c r="A20" s="103"/>
      <c r="B20" s="211">
        <f>Informe!$F$17</f>
        <v>68.595625</v>
      </c>
      <c r="C20" s="17">
        <f>(B20*1000)/Informe!$E$40</f>
        <v>7000</v>
      </c>
      <c r="D20" s="17">
        <f>Lecturas!D36</f>
        <v>1.99599289894104</v>
      </c>
      <c r="E20" s="19">
        <f>Lecturas!B36</f>
        <v>0.007152777777777779</v>
      </c>
      <c r="F20" s="17">
        <f>($D$15-D20)/'Tabla A1'!$B$46</f>
        <v>0.765270006805095</v>
      </c>
      <c r="G20" s="27">
        <f>IF(AND('tabla A5'!C20&lt;=Auxiliar!$C$11,'tabla A5'!C20&gt;=0),0.7*0.5*Informe!$D$24,IF(AND('tabla A5'!C20&gt;Auxiliar!$C$11,'tabla A5'!C20&lt;=Auxiliar!$C$12),0.7*Informe!$D$24,IF(AND('tabla A5'!C20&gt;Auxiliar!$C$12,'tabla A5'!C20&lt;=Auxiliar!$C$13),0.7*1.5*Informe!$D$24)))</f>
        <v>0.7349999999999999</v>
      </c>
      <c r="H20" s="69" t="str">
        <f t="shared" si="0"/>
        <v>desfavorable</v>
      </c>
      <c r="I20" s="103"/>
      <c r="J20" s="99"/>
      <c r="K20" s="99"/>
      <c r="L20" s="99"/>
      <c r="M20" s="99"/>
      <c r="N20" s="99"/>
      <c r="O20" s="99"/>
      <c r="P20" s="99"/>
      <c r="Q20" s="99"/>
      <c r="R20" s="99"/>
      <c r="S20" s="99"/>
    </row>
    <row r="21" spans="1:19" ht="12.75">
      <c r="A21" s="103"/>
      <c r="B21" s="211">
        <f>Informe!$F$17</f>
        <v>68.595625</v>
      </c>
      <c r="C21" s="17">
        <f>(B21*1000)/Informe!$E$40</f>
        <v>7000</v>
      </c>
      <c r="D21" s="17">
        <f>Lecturas!D37</f>
        <v>1.9959990978240967</v>
      </c>
      <c r="E21" s="19">
        <f>Lecturas!B37</f>
        <v>0.008333333333333333</v>
      </c>
      <c r="F21" s="17">
        <f>($D$15-D21)/'Tabla A1'!$B$46</f>
        <v>0.7559330663185008</v>
      </c>
      <c r="G21" s="27">
        <f>IF(AND('tabla A5'!C21&lt;=Auxiliar!$C$11,'tabla A5'!C21&gt;=0),0.7*0.5*Informe!$D$24,IF(AND('tabla A5'!C21&gt;Auxiliar!$C$11,'tabla A5'!C21&lt;=Auxiliar!$C$12),0.7*Informe!$D$24,IF(AND('tabla A5'!C21&gt;Auxiliar!$C$12,'tabla A5'!C21&lt;=Auxiliar!$C$13),0.7*1.5*Informe!$D$24)))</f>
        <v>0.7349999999999999</v>
      </c>
      <c r="H21" s="69" t="str">
        <f t="shared" si="0"/>
        <v>desfavorable</v>
      </c>
      <c r="I21" s="103"/>
      <c r="J21" s="99"/>
      <c r="K21" s="99"/>
      <c r="L21" s="99"/>
      <c r="M21" s="99"/>
      <c r="N21" s="99"/>
      <c r="O21" s="99"/>
      <c r="P21" s="99"/>
      <c r="Q21" s="99"/>
      <c r="R21" s="99"/>
      <c r="S21" s="99"/>
    </row>
    <row r="22" spans="1:19" ht="12.75">
      <c r="A22" s="103"/>
      <c r="B22" s="211">
        <f>Informe!$F$17</f>
        <v>68.595625</v>
      </c>
      <c r="C22" s="17">
        <f>(B22*1000)/Informe!$E$40</f>
        <v>7000</v>
      </c>
      <c r="D22" s="17">
        <f>Lecturas!D38</f>
        <v>1.9959709644317627</v>
      </c>
      <c r="E22" s="19">
        <f>Lecturas!B38</f>
        <v>0.009722222222222222</v>
      </c>
      <c r="F22" s="17">
        <f>($D$15-D22)/'Tabla A1'!$B$46</f>
        <v>0.7983084116038134</v>
      </c>
      <c r="G22" s="27">
        <f>IF(AND('tabla A5'!C22&lt;=Auxiliar!$C$11,'tabla A5'!C22&gt;=0),0.7*0.5*Informe!$D$24,IF(AND('tabla A5'!C22&gt;Auxiliar!$C$11,'tabla A5'!C22&lt;=Auxiliar!$C$12),0.7*Informe!$D$24,IF(AND('tabla A5'!C22&gt;Auxiliar!$C$12,'tabla A5'!C22&lt;=Auxiliar!$C$13),0.7*1.5*Informe!$D$24)))</f>
        <v>0.7349999999999999</v>
      </c>
      <c r="H22" s="69" t="str">
        <f t="shared" si="0"/>
        <v>desfavorable</v>
      </c>
      <c r="I22" s="103"/>
      <c r="J22" s="99"/>
      <c r="K22" s="99"/>
      <c r="L22" s="99"/>
      <c r="M22" s="99"/>
      <c r="N22" s="99"/>
      <c r="O22" s="99"/>
      <c r="P22" s="99"/>
      <c r="Q22" s="99"/>
      <c r="R22" s="99"/>
      <c r="S22" s="99"/>
    </row>
    <row r="23" spans="1:19" ht="12.75">
      <c r="A23" s="103"/>
      <c r="B23" s="211">
        <f>Informe!$F$17</f>
        <v>68.595625</v>
      </c>
      <c r="C23" s="17">
        <f>(B23*1000)/Informe!$E$40</f>
        <v>7000</v>
      </c>
      <c r="D23" s="17">
        <f>Lecturas!D39</f>
        <v>1.9959172010421753</v>
      </c>
      <c r="E23" s="19">
        <f>Lecturas!B39</f>
        <v>0.011377314814814814</v>
      </c>
      <c r="F23" s="17">
        <f>($D$15-D23)/'Tabla A1'!$B$46</f>
        <v>0.8792884146702371</v>
      </c>
      <c r="G23" s="27">
        <f>IF(AND('tabla A5'!C23&lt;=Auxiliar!$C$11,'tabla A5'!C23&gt;=0),0.7*0.5*Informe!$D$24,IF(AND('tabla A5'!C23&gt;Auxiliar!$C$11,'tabla A5'!C23&lt;=Auxiliar!$C$12),0.7*Informe!$D$24,IF(AND('tabla A5'!C23&gt;Auxiliar!$C$12,'tabla A5'!C23&lt;=Auxiliar!$C$13),0.7*1.5*Informe!$D$24)))</f>
        <v>0.7349999999999999</v>
      </c>
      <c r="H23" s="69" t="str">
        <f t="shared" si="0"/>
        <v>desfavorable</v>
      </c>
      <c r="I23" s="103"/>
      <c r="J23" s="99"/>
      <c r="K23" s="99"/>
      <c r="L23" s="99"/>
      <c r="M23" s="99"/>
      <c r="N23" s="99"/>
      <c r="O23" s="99"/>
      <c r="P23" s="99"/>
      <c r="Q23" s="99"/>
      <c r="R23" s="99"/>
      <c r="S23" s="99"/>
    </row>
    <row r="24" spans="1:19" ht="12.75">
      <c r="A24" s="103"/>
      <c r="B24" s="211">
        <f>Informe!$F$17</f>
        <v>68.595625</v>
      </c>
      <c r="C24" s="17">
        <f>(B24*1000)/Informe!$E$40</f>
        <v>7000</v>
      </c>
      <c r="D24" s="17">
        <f>Lecturas!D40</f>
        <v>1.995892882347107</v>
      </c>
      <c r="E24" s="19">
        <f>Lecturas!B40</f>
        <v>0.012569444444444446</v>
      </c>
      <c r="F24" s="17">
        <f>($D$15-D24)/'Tabla A1'!$B$46</f>
        <v>0.9159179504253379</v>
      </c>
      <c r="G24" s="27">
        <f>IF(AND('tabla A5'!C24&lt;=Auxiliar!$C$11,'tabla A5'!C24&gt;=0),0.7*0.5*Informe!$D$24,IF(AND('tabla A5'!C24&gt;Auxiliar!$C$11,'tabla A5'!C24&lt;=Auxiliar!$C$12),0.7*Informe!$D$24,IF(AND('tabla A5'!C24&gt;Auxiliar!$C$12,'tabla A5'!C24&lt;=Auxiliar!$C$13),0.7*1.5*Informe!$D$24)))</f>
        <v>0.7349999999999999</v>
      </c>
      <c r="H24" s="69" t="str">
        <f t="shared" si="0"/>
        <v>desfavorable</v>
      </c>
      <c r="I24" s="103"/>
      <c r="J24" s="99"/>
      <c r="K24" s="99"/>
      <c r="L24" s="99"/>
      <c r="M24" s="99"/>
      <c r="N24" s="99"/>
      <c r="O24" s="99"/>
      <c r="P24" s="99"/>
      <c r="Q24" s="99"/>
      <c r="R24" s="99"/>
      <c r="S24" s="99"/>
    </row>
    <row r="25" spans="1:19" ht="12.75">
      <c r="A25" s="103"/>
      <c r="B25" s="211">
        <f>Informe!$F$17</f>
        <v>68.595625</v>
      </c>
      <c r="C25" s="17">
        <f>(B25*1000)/Informe!$E$40</f>
        <v>7000</v>
      </c>
      <c r="D25" s="17">
        <f>Lecturas!D41</f>
        <v>1.995911955833435</v>
      </c>
      <c r="E25" s="19">
        <f>Lecturas!B41</f>
        <v>0.013888888888888888</v>
      </c>
      <c r="F25" s="17">
        <f>($D$15-D25)/'Tabla A1'!$B$46</f>
        <v>0.8871889027742784</v>
      </c>
      <c r="G25" s="27">
        <f>IF(AND('tabla A5'!C25&lt;=Auxiliar!$C$11,'tabla A5'!C25&gt;=0),0.7*0.5*Informe!$D$24,IF(AND('tabla A5'!C25&gt;Auxiliar!$C$11,'tabla A5'!C25&lt;=Auxiliar!$C$12),0.7*Informe!$D$24,IF(AND('tabla A5'!C25&gt;Auxiliar!$C$12,'tabla A5'!C25&lt;=Auxiliar!$C$13),0.7*1.5*Informe!$D$24)))</f>
        <v>0.7349999999999999</v>
      </c>
      <c r="H25" s="69" t="str">
        <f t="shared" si="0"/>
        <v>desfavorable</v>
      </c>
      <c r="I25" s="103"/>
      <c r="J25" s="99"/>
      <c r="K25" s="99"/>
      <c r="L25" s="99"/>
      <c r="M25" s="99"/>
      <c r="N25" s="99"/>
      <c r="O25" s="99"/>
      <c r="P25" s="99"/>
      <c r="Q25" s="99"/>
      <c r="R25" s="99"/>
      <c r="S25" s="99"/>
    </row>
    <row r="26" spans="1:19" ht="12.75">
      <c r="A26" s="103"/>
      <c r="B26" s="211">
        <f>Informe!$F$17</f>
        <v>68.595625</v>
      </c>
      <c r="C26" s="17">
        <f>(B26*1000)/Informe!$E$40</f>
        <v>7000</v>
      </c>
      <c r="D26" s="17">
        <f>Lecturas!D42</f>
        <v>1.9958699941635132</v>
      </c>
      <c r="E26" s="19">
        <f>Lecturas!B42</f>
        <v>0.015277777777777777</v>
      </c>
      <c r="F26" s="17">
        <f>($D$15-D26)/'Tabla A1'!$B$46</f>
        <v>0.950392807606609</v>
      </c>
      <c r="G26" s="27">
        <f>IF(AND('tabla A5'!C26&lt;=Auxiliar!$C$11,'tabla A5'!C26&gt;=0),0.7*0.5*Informe!$D$24,IF(AND('tabla A5'!C26&gt;Auxiliar!$C$11,'tabla A5'!C26&lt;=Auxiliar!$C$12),0.7*Informe!$D$24,IF(AND('tabla A5'!C26&gt;Auxiliar!$C$12,'tabla A5'!C26&lt;=Auxiliar!$C$13),0.7*1.5*Informe!$D$24)))</f>
        <v>0.7349999999999999</v>
      </c>
      <c r="H26" s="69" t="str">
        <f t="shared" si="0"/>
        <v>desfavorable</v>
      </c>
      <c r="I26" s="103"/>
      <c r="J26" s="99"/>
      <c r="K26" s="99"/>
      <c r="L26" s="99"/>
      <c r="M26" s="99"/>
      <c r="N26" s="99"/>
      <c r="O26" s="99"/>
      <c r="P26" s="99"/>
      <c r="Q26" s="99"/>
      <c r="R26" s="99"/>
      <c r="S26" s="99"/>
    </row>
    <row r="27" spans="1:19" ht="12.75">
      <c r="A27" s="103"/>
      <c r="B27" s="211">
        <f>Informe!$F$17</f>
        <v>68.595625</v>
      </c>
      <c r="C27" s="17">
        <f>(B27*1000)/Informe!$E$40</f>
        <v>7000</v>
      </c>
      <c r="D27" s="17">
        <f>Lecturas!D43</f>
        <v>1.9958128929138184</v>
      </c>
      <c r="E27" s="19">
        <f>Lecturas!B43</f>
        <v>0.016689814814814817</v>
      </c>
      <c r="F27" s="17">
        <f>($D$15-D27)/'Tabla A1'!$B$46</f>
        <v>1.0364003940119682</v>
      </c>
      <c r="G27" s="27">
        <f>IF(AND('tabla A5'!C27&lt;=Auxiliar!$C$11,'tabla A5'!C27&gt;=0),0.7*0.5*Informe!$D$24,IF(AND('tabla A5'!C27&gt;Auxiliar!$C$11,'tabla A5'!C27&lt;=Auxiliar!$C$12),0.7*Informe!$D$24,IF(AND('tabla A5'!C27&gt;Auxiliar!$C$12,'tabla A5'!C27&lt;=Auxiliar!$C$13),0.7*1.5*Informe!$D$24)))</f>
        <v>0.7349999999999999</v>
      </c>
      <c r="H27" s="69" t="str">
        <f t="shared" si="0"/>
        <v>desfavorable</v>
      </c>
      <c r="I27" s="103"/>
      <c r="J27" s="99"/>
      <c r="K27" s="99"/>
      <c r="L27" s="99"/>
      <c r="M27" s="99"/>
      <c r="N27" s="99"/>
      <c r="O27" s="99"/>
      <c r="P27" s="99"/>
      <c r="Q27" s="99"/>
      <c r="R27" s="99"/>
      <c r="S27" s="99"/>
    </row>
    <row r="28" spans="1:19" ht="12.75">
      <c r="A28" s="103"/>
      <c r="B28" s="211">
        <f>Informe!$F$17</f>
        <v>68.595625</v>
      </c>
      <c r="C28" s="17">
        <f>(B28*1000)/Informe!$E$40</f>
        <v>7000</v>
      </c>
      <c r="D28" s="17">
        <f>Lecturas!D44</f>
        <v>1.9958419799804688</v>
      </c>
      <c r="E28" s="19">
        <f>Lecturas!B44</f>
        <v>0.018055555555555557</v>
      </c>
      <c r="F28" s="17">
        <f>($D$15-D28)/'Tabla A1'!$B$46</f>
        <v>0.9925885963441026</v>
      </c>
      <c r="G28" s="27">
        <f>IF(AND('tabla A5'!C28&lt;=Auxiliar!$C$11,'tabla A5'!C28&gt;=0),0.7*0.5*Informe!$D$24,IF(AND('tabla A5'!C28&gt;Auxiliar!$C$11,'tabla A5'!C28&lt;=Auxiliar!$C$12),0.7*Informe!$D$24,IF(AND('tabla A5'!C28&gt;Auxiliar!$C$12,'tabla A5'!C28&lt;=Auxiliar!$C$13),0.7*1.5*Informe!$D$24)))</f>
        <v>0.7349999999999999</v>
      </c>
      <c r="H28" s="69" t="str">
        <f t="shared" si="0"/>
        <v>desfavorable</v>
      </c>
      <c r="I28" s="103"/>
      <c r="J28" s="99"/>
      <c r="K28" s="99"/>
      <c r="L28" s="99"/>
      <c r="M28" s="99"/>
      <c r="N28" s="99"/>
      <c r="O28" s="99"/>
      <c r="P28" s="99"/>
      <c r="Q28" s="99"/>
      <c r="R28" s="99"/>
      <c r="S28" s="99"/>
    </row>
    <row r="29" spans="1:19" ht="12.75">
      <c r="A29" s="103"/>
      <c r="B29" s="211">
        <f>Informe!$F$17</f>
        <v>68.595625</v>
      </c>
      <c r="C29" s="17">
        <f>(B29*1000)/Informe!$E$40</f>
        <v>7000</v>
      </c>
      <c r="D29" s="17">
        <f>Lecturas!D45</f>
        <v>1.9958208799362183</v>
      </c>
      <c r="E29" s="19">
        <f>Lecturas!B45</f>
        <v>0.019444444444444445</v>
      </c>
      <c r="F29" s="17">
        <f>($D$15-D29)/'Tabla A1'!$B$46</f>
        <v>1.0243701053080871</v>
      </c>
      <c r="G29" s="27">
        <f>IF(AND('tabla A5'!C29&lt;=Auxiliar!$C$11,'tabla A5'!C29&gt;=0),0.7*0.5*Informe!$D$24,IF(AND('tabla A5'!C29&gt;Auxiliar!$C$11,'tabla A5'!C29&lt;=Auxiliar!$C$12),0.7*Informe!$D$24,IF(AND('tabla A5'!C29&gt;Auxiliar!$C$12,'tabla A5'!C29&lt;=Auxiliar!$C$13),0.7*1.5*Informe!$D$24)))</f>
        <v>0.7349999999999999</v>
      </c>
      <c r="H29" s="69" t="str">
        <f t="shared" si="0"/>
        <v>desfavorable</v>
      </c>
      <c r="I29" s="103"/>
      <c r="J29" s="99"/>
      <c r="K29" s="99"/>
      <c r="L29" s="99"/>
      <c r="M29" s="99"/>
      <c r="N29" s="99"/>
      <c r="O29" s="99"/>
      <c r="P29" s="99"/>
      <c r="Q29" s="99"/>
      <c r="R29" s="99"/>
      <c r="S29" s="99"/>
    </row>
    <row r="30" spans="1:19" ht="12.75">
      <c r="A30" s="103"/>
      <c r="B30" s="211">
        <f>Informe!$F$17</f>
        <v>68.595625</v>
      </c>
      <c r="C30" s="17">
        <f>(B30*1000)/Informe!$E$40</f>
        <v>7000</v>
      </c>
      <c r="D30" s="17">
        <f>Lecturas!D46</f>
        <v>-0.0017500000540167093</v>
      </c>
      <c r="E30" s="19">
        <f>Lecturas!B46</f>
        <v>0</v>
      </c>
      <c r="F30" s="17"/>
      <c r="G30" s="27"/>
      <c r="H30" s="69"/>
      <c r="I30" s="103"/>
      <c r="J30" s="99"/>
      <c r="K30" s="99"/>
      <c r="L30" s="99"/>
      <c r="M30" s="99"/>
      <c r="N30" s="99"/>
      <c r="O30" s="99"/>
      <c r="P30" s="99"/>
      <c r="Q30" s="99"/>
      <c r="R30" s="99"/>
      <c r="S30" s="99"/>
    </row>
    <row r="31" spans="1:19" ht="13.5" thickBot="1">
      <c r="A31" s="103"/>
      <c r="B31" s="18">
        <v>0</v>
      </c>
      <c r="C31" s="20">
        <f>(B31*1000)/9.81</f>
        <v>0</v>
      </c>
      <c r="D31" s="20">
        <f>Lecturas!D47</f>
        <v>0</v>
      </c>
      <c r="E31" s="21"/>
      <c r="F31" s="122">
        <f>ABS((D30-D14)/'Tabla A1'!B46)</f>
        <v>1.1447345395620199</v>
      </c>
      <c r="G31" s="133">
        <v>0.5</v>
      </c>
      <c r="H31" s="71" t="str">
        <f t="shared" si="0"/>
        <v>desfavorable</v>
      </c>
      <c r="I31" s="103"/>
      <c r="J31" s="99"/>
      <c r="K31" s="99"/>
      <c r="L31" s="99"/>
      <c r="M31" s="99"/>
      <c r="N31" s="99"/>
      <c r="O31" s="99"/>
      <c r="P31" s="99"/>
      <c r="Q31" s="99"/>
      <c r="R31" s="99"/>
      <c r="S31" s="99"/>
    </row>
    <row r="32" spans="1:19" ht="12.75">
      <c r="A32" s="103"/>
      <c r="B32" s="131"/>
      <c r="C32" s="132"/>
      <c r="D32" s="132"/>
      <c r="E32" s="132"/>
      <c r="F32" s="132" t="s">
        <v>19</v>
      </c>
      <c r="G32" s="132"/>
      <c r="H32" s="132"/>
      <c r="I32" s="103"/>
      <c r="J32" s="99"/>
      <c r="K32" s="99"/>
      <c r="L32" s="99"/>
      <c r="M32" s="99"/>
      <c r="N32" s="99"/>
      <c r="O32" s="99"/>
      <c r="P32" s="99"/>
      <c r="Q32" s="99"/>
      <c r="R32" s="99"/>
      <c r="S32" s="99"/>
    </row>
    <row r="33" spans="1:19" ht="13.5" thickBot="1">
      <c r="A33" s="103"/>
      <c r="B33" s="131"/>
      <c r="C33" s="132"/>
      <c r="D33" s="132"/>
      <c r="E33" s="132"/>
      <c r="F33" s="132"/>
      <c r="G33" s="132"/>
      <c r="H33" s="132"/>
      <c r="I33" s="103"/>
      <c r="J33" s="99"/>
      <c r="K33" s="99"/>
      <c r="L33" s="99"/>
      <c r="M33" s="99"/>
      <c r="N33" s="99"/>
      <c r="O33" s="99"/>
      <c r="P33" s="99"/>
      <c r="Q33" s="99"/>
      <c r="R33" s="99"/>
      <c r="S33" s="99"/>
    </row>
    <row r="34" spans="1:19" ht="12.75">
      <c r="A34" s="103"/>
      <c r="B34" s="248" t="s">
        <v>17</v>
      </c>
      <c r="C34" s="249"/>
      <c r="D34" s="22" t="s">
        <v>18</v>
      </c>
      <c r="E34" s="132"/>
      <c r="F34" s="132"/>
      <c r="G34" s="132"/>
      <c r="H34" s="132"/>
      <c r="I34" s="103"/>
      <c r="J34" s="99"/>
      <c r="K34" s="99"/>
      <c r="L34" s="99"/>
      <c r="M34" s="99"/>
      <c r="N34" s="99"/>
      <c r="O34" s="99"/>
      <c r="P34" s="99"/>
      <c r="Q34" s="99"/>
      <c r="R34" s="99"/>
      <c r="S34" s="99"/>
    </row>
    <row r="35" spans="1:19" ht="12.75">
      <c r="A35" s="103"/>
      <c r="B35" s="250">
        <f>ABS((D29-D25)/'Tabla A1'!B46)</f>
        <v>0.1371812025338087</v>
      </c>
      <c r="C35" s="251"/>
      <c r="D35" s="17">
        <f>IF(AND('tabla A5'!C15&lt;=Auxiliar!$C$11,'tabla A5'!C15&gt;=0),0.15*0.35,IF(AND('tabla A5'!C15&gt;=Auxiliar!$C$11,'tabla A5'!C15&lt;=Auxiliar!$C$12),0.15*0.7,IF(AND('tabla A5'!C15&gt;=Auxiliar!$C$12,'tabla A5'!C15&lt;=Auxiliar!$C$13),0.15*1.05)))</f>
        <v>0.1575</v>
      </c>
      <c r="E35" s="132" t="str">
        <f>IF(ABS(C35)&lt;D35,"favorable","desfavorable")</f>
        <v>favorable</v>
      </c>
      <c r="F35" s="132"/>
      <c r="G35" s="132"/>
      <c r="H35" s="132"/>
      <c r="I35" s="103"/>
      <c r="J35" s="99"/>
      <c r="K35" s="99"/>
      <c r="L35" s="99"/>
      <c r="M35" s="99"/>
      <c r="N35" s="99"/>
      <c r="O35" s="99"/>
      <c r="P35" s="99"/>
      <c r="Q35" s="99"/>
      <c r="R35" s="99"/>
      <c r="S35" s="99"/>
    </row>
    <row r="36" spans="1:19" ht="12.75">
      <c r="A36" s="103"/>
      <c r="B36" s="103"/>
      <c r="C36" s="103"/>
      <c r="D36" s="103"/>
      <c r="E36" s="132"/>
      <c r="F36" s="132"/>
      <c r="G36" s="132"/>
      <c r="H36" s="132"/>
      <c r="I36" s="103"/>
      <c r="J36" s="99"/>
      <c r="K36" s="99"/>
      <c r="L36" s="99"/>
      <c r="M36" s="99"/>
      <c r="N36" s="99"/>
      <c r="O36" s="99"/>
      <c r="P36" s="99"/>
      <c r="Q36" s="99"/>
      <c r="R36" s="99"/>
      <c r="S36" s="99"/>
    </row>
    <row r="37" spans="1:19" ht="14.25">
      <c r="A37" s="103"/>
      <c r="B37" s="123" t="s">
        <v>69</v>
      </c>
      <c r="C37" s="132"/>
      <c r="D37" s="132"/>
      <c r="E37" s="132"/>
      <c r="F37" s="132"/>
      <c r="G37" s="132"/>
      <c r="H37" s="132"/>
      <c r="I37" s="103"/>
      <c r="J37" s="99"/>
      <c r="K37" s="99"/>
      <c r="L37" s="99"/>
      <c r="M37" s="99"/>
      <c r="N37" s="99"/>
      <c r="O37" s="99"/>
      <c r="P37" s="99"/>
      <c r="Q37" s="99"/>
      <c r="R37" s="99"/>
      <c r="S37" s="99"/>
    </row>
    <row r="38" spans="1:19" ht="12.75">
      <c r="A38" s="103"/>
      <c r="B38" s="132"/>
      <c r="C38" s="132"/>
      <c r="D38" s="132"/>
      <c r="E38" s="132"/>
      <c r="F38" s="132"/>
      <c r="G38" s="132"/>
      <c r="H38" s="132"/>
      <c r="I38" s="103"/>
      <c r="J38" s="99"/>
      <c r="K38" s="99"/>
      <c r="L38" s="99"/>
      <c r="M38" s="99"/>
      <c r="N38" s="99"/>
      <c r="O38" s="99"/>
      <c r="P38" s="99"/>
      <c r="Q38" s="99"/>
      <c r="R38" s="99"/>
      <c r="S38" s="99"/>
    </row>
    <row r="39" spans="1:19" ht="12.75">
      <c r="A39" s="103"/>
      <c r="B39" s="130"/>
      <c r="C39" s="132"/>
      <c r="D39" s="130"/>
      <c r="E39" s="132"/>
      <c r="F39" s="132"/>
      <c r="G39" s="132"/>
      <c r="H39" s="132"/>
      <c r="I39" s="103"/>
      <c r="J39" s="99"/>
      <c r="K39" s="99"/>
      <c r="L39" s="99"/>
      <c r="M39" s="99"/>
      <c r="N39" s="99"/>
      <c r="O39" s="99"/>
      <c r="P39" s="99"/>
      <c r="Q39" s="99"/>
      <c r="R39" s="99"/>
      <c r="S39" s="99"/>
    </row>
    <row r="40" spans="1:19" ht="12.75">
      <c r="A40" s="103"/>
      <c r="B40" s="132"/>
      <c r="C40" s="132"/>
      <c r="D40" s="132"/>
      <c r="E40" s="132"/>
      <c r="F40" s="132"/>
      <c r="G40" s="132"/>
      <c r="H40" s="132"/>
      <c r="I40" s="103"/>
      <c r="J40" s="99"/>
      <c r="K40" s="99"/>
      <c r="L40" s="99"/>
      <c r="M40" s="99"/>
      <c r="N40" s="99"/>
      <c r="O40" s="99"/>
      <c r="P40" s="99"/>
      <c r="Q40" s="99"/>
      <c r="R40" s="99"/>
      <c r="S40" s="99"/>
    </row>
    <row r="41" spans="1:19" ht="12.75">
      <c r="A41" s="103"/>
      <c r="B41" s="103"/>
      <c r="C41" s="103"/>
      <c r="D41" s="103"/>
      <c r="E41" s="103"/>
      <c r="F41" s="103"/>
      <c r="G41" s="103"/>
      <c r="H41" s="103"/>
      <c r="I41" s="103"/>
      <c r="J41" s="99"/>
      <c r="K41" s="99"/>
      <c r="L41" s="99"/>
      <c r="M41" s="99"/>
      <c r="N41" s="99"/>
      <c r="O41" s="99"/>
      <c r="P41" s="99"/>
      <c r="Q41" s="99"/>
      <c r="R41" s="99"/>
      <c r="S41" s="99"/>
    </row>
    <row r="42" spans="1:19" ht="12.75">
      <c r="A42" s="103"/>
      <c r="B42" s="103"/>
      <c r="C42" s="103"/>
      <c r="D42" s="103"/>
      <c r="E42" s="103"/>
      <c r="F42" s="103"/>
      <c r="G42" s="103"/>
      <c r="H42" s="103"/>
      <c r="I42" s="103"/>
      <c r="J42" s="99"/>
      <c r="K42" s="99"/>
      <c r="L42" s="99"/>
      <c r="M42" s="99"/>
      <c r="N42" s="99"/>
      <c r="O42" s="99"/>
      <c r="P42" s="99"/>
      <c r="Q42" s="99"/>
      <c r="R42" s="99"/>
      <c r="S42" s="99"/>
    </row>
    <row r="43" spans="1:19" ht="12.75">
      <c r="A43" s="103"/>
      <c r="B43" s="103"/>
      <c r="C43" s="103"/>
      <c r="D43" s="103"/>
      <c r="E43" s="103"/>
      <c r="F43" s="103"/>
      <c r="G43" s="103"/>
      <c r="H43" s="103"/>
      <c r="I43" s="103"/>
      <c r="J43" s="99"/>
      <c r="K43" s="99"/>
      <c r="L43" s="99"/>
      <c r="M43" s="99"/>
      <c r="N43" s="99"/>
      <c r="O43" s="99"/>
      <c r="P43" s="99"/>
      <c r="Q43" s="99"/>
      <c r="R43" s="99"/>
      <c r="S43" s="99"/>
    </row>
    <row r="44" spans="1:19" ht="12.75">
      <c r="A44" s="103"/>
      <c r="B44" s="103"/>
      <c r="C44" s="103"/>
      <c r="D44" s="103"/>
      <c r="E44" s="103"/>
      <c r="F44" s="103"/>
      <c r="G44" s="103"/>
      <c r="H44" s="103"/>
      <c r="I44" s="103"/>
      <c r="J44" s="99"/>
      <c r="K44" s="99"/>
      <c r="L44" s="99"/>
      <c r="M44" s="99"/>
      <c r="N44" s="99"/>
      <c r="O44" s="99"/>
      <c r="P44" s="99"/>
      <c r="Q44" s="99"/>
      <c r="R44" s="99"/>
      <c r="S44" s="99"/>
    </row>
    <row r="45" spans="1:19" ht="12.75">
      <c r="A45" s="103"/>
      <c r="B45" s="103"/>
      <c r="C45" s="103"/>
      <c r="D45" s="103"/>
      <c r="E45" s="103"/>
      <c r="F45" s="103"/>
      <c r="G45" s="103"/>
      <c r="H45" s="103"/>
      <c r="I45" s="103"/>
      <c r="J45" s="99"/>
      <c r="K45" s="99"/>
      <c r="L45" s="99"/>
      <c r="M45" s="99"/>
      <c r="N45" s="99"/>
      <c r="O45" s="99"/>
      <c r="P45" s="99"/>
      <c r="Q45" s="99"/>
      <c r="R45" s="99"/>
      <c r="S45" s="99"/>
    </row>
    <row r="46" spans="1:19" ht="12.75">
      <c r="A46" s="103"/>
      <c r="B46" s="103"/>
      <c r="C46" s="103"/>
      <c r="D46" s="103"/>
      <c r="E46" s="103"/>
      <c r="F46" s="103"/>
      <c r="G46" s="103"/>
      <c r="H46" s="103"/>
      <c r="I46" s="103"/>
      <c r="J46" s="99"/>
      <c r="K46" s="99"/>
      <c r="L46" s="99"/>
      <c r="M46" s="99"/>
      <c r="N46" s="99"/>
      <c r="O46" s="99"/>
      <c r="P46" s="99"/>
      <c r="Q46" s="99"/>
      <c r="R46" s="99"/>
      <c r="S46" s="99"/>
    </row>
    <row r="47" spans="1:19" ht="12.75">
      <c r="A47" s="103"/>
      <c r="B47" s="103"/>
      <c r="C47" s="103"/>
      <c r="D47" s="103"/>
      <c r="E47" s="103"/>
      <c r="F47" s="103"/>
      <c r="G47" s="103"/>
      <c r="H47" s="103"/>
      <c r="I47" s="103"/>
      <c r="J47" s="99"/>
      <c r="K47" s="99"/>
      <c r="L47" s="99"/>
      <c r="M47" s="99"/>
      <c r="N47" s="99"/>
      <c r="O47" s="99"/>
      <c r="P47" s="99"/>
      <c r="Q47" s="99"/>
      <c r="R47" s="99"/>
      <c r="S47" s="99"/>
    </row>
    <row r="48" spans="1:19" ht="12.75">
      <c r="A48" s="103"/>
      <c r="B48" s="103"/>
      <c r="C48" s="103"/>
      <c r="D48" s="103"/>
      <c r="E48" s="103"/>
      <c r="F48" s="103"/>
      <c r="G48" s="103"/>
      <c r="H48" s="103"/>
      <c r="I48" s="103"/>
      <c r="J48" s="99"/>
      <c r="K48" s="99"/>
      <c r="L48" s="99"/>
      <c r="M48" s="99"/>
      <c r="N48" s="99"/>
      <c r="O48" s="99"/>
      <c r="P48" s="99"/>
      <c r="Q48" s="99"/>
      <c r="R48" s="99"/>
      <c r="S48" s="99"/>
    </row>
    <row r="49" spans="1:19" ht="12.75">
      <c r="A49" s="103"/>
      <c r="B49" s="103"/>
      <c r="C49" s="103"/>
      <c r="D49" s="103"/>
      <c r="E49" s="103"/>
      <c r="F49" s="103"/>
      <c r="G49" s="103"/>
      <c r="H49" s="103"/>
      <c r="I49" s="103"/>
      <c r="J49" s="99"/>
      <c r="K49" s="99"/>
      <c r="L49" s="99"/>
      <c r="M49" s="99"/>
      <c r="N49" s="99"/>
      <c r="O49" s="99"/>
      <c r="P49" s="99"/>
      <c r="Q49" s="99"/>
      <c r="R49" s="99"/>
      <c r="S49" s="99"/>
    </row>
    <row r="50" spans="1:19" ht="12.75">
      <c r="A50" s="103"/>
      <c r="B50" s="103"/>
      <c r="C50" s="103"/>
      <c r="D50" s="103"/>
      <c r="E50" s="103"/>
      <c r="F50" s="103"/>
      <c r="G50" s="103"/>
      <c r="H50" s="103"/>
      <c r="I50" s="103"/>
      <c r="J50" s="99"/>
      <c r="K50" s="99"/>
      <c r="L50" s="99"/>
      <c r="M50" s="99"/>
      <c r="N50" s="99"/>
      <c r="O50" s="99"/>
      <c r="P50" s="99"/>
      <c r="Q50" s="99"/>
      <c r="R50" s="99"/>
      <c r="S50" s="99"/>
    </row>
    <row r="51" spans="1:19" ht="12.75">
      <c r="A51" s="103"/>
      <c r="B51" s="103"/>
      <c r="C51" s="103"/>
      <c r="D51" s="103"/>
      <c r="E51" s="103"/>
      <c r="F51" s="103"/>
      <c r="G51" s="103"/>
      <c r="H51" s="103"/>
      <c r="I51" s="103"/>
      <c r="J51" s="99"/>
      <c r="K51" s="99"/>
      <c r="L51" s="99"/>
      <c r="M51" s="99"/>
      <c r="N51" s="99"/>
      <c r="O51" s="99"/>
      <c r="P51" s="99"/>
      <c r="Q51" s="99"/>
      <c r="R51" s="99"/>
      <c r="S51" s="99"/>
    </row>
    <row r="52" spans="1:19" ht="12.75">
      <c r="A52" s="103"/>
      <c r="B52" s="103"/>
      <c r="C52" s="103"/>
      <c r="D52" s="103"/>
      <c r="E52" s="103"/>
      <c r="F52" s="103"/>
      <c r="G52" s="103"/>
      <c r="H52" s="103"/>
      <c r="I52" s="103"/>
      <c r="J52" s="99"/>
      <c r="K52" s="99"/>
      <c r="L52" s="99"/>
      <c r="M52" s="99"/>
      <c r="N52" s="99"/>
      <c r="O52" s="99"/>
      <c r="P52" s="99"/>
      <c r="Q52" s="99"/>
      <c r="R52" s="99"/>
      <c r="S52" s="99"/>
    </row>
    <row r="53" spans="1:19" ht="12.75">
      <c r="A53" s="103"/>
      <c r="B53" s="103"/>
      <c r="C53" s="103"/>
      <c r="D53" s="103"/>
      <c r="E53" s="103"/>
      <c r="F53" s="103"/>
      <c r="G53" s="103"/>
      <c r="H53" s="103"/>
      <c r="I53" s="103"/>
      <c r="J53" s="99"/>
      <c r="K53" s="99"/>
      <c r="L53" s="99"/>
      <c r="M53" s="99"/>
      <c r="N53" s="99"/>
      <c r="O53" s="99"/>
      <c r="P53" s="99"/>
      <c r="Q53" s="99"/>
      <c r="R53" s="99"/>
      <c r="S53" s="99"/>
    </row>
    <row r="54" spans="1:19" ht="12.75">
      <c r="A54" s="103"/>
      <c r="B54" s="103"/>
      <c r="C54" s="103"/>
      <c r="D54" s="103"/>
      <c r="E54" s="103"/>
      <c r="F54" s="103"/>
      <c r="G54" s="103"/>
      <c r="H54" s="103"/>
      <c r="I54" s="103"/>
      <c r="J54" s="99"/>
      <c r="K54" s="99"/>
      <c r="L54" s="99"/>
      <c r="M54" s="99"/>
      <c r="N54" s="99"/>
      <c r="O54" s="99"/>
      <c r="P54" s="99"/>
      <c r="Q54" s="99"/>
      <c r="R54" s="99"/>
      <c r="S54" s="99"/>
    </row>
    <row r="55" spans="1:19" ht="12.75">
      <c r="A55" s="99"/>
      <c r="B55" s="99"/>
      <c r="C55" s="99"/>
      <c r="D55" s="99"/>
      <c r="E55" s="99"/>
      <c r="F55" s="99"/>
      <c r="G55" s="99"/>
      <c r="H55" s="99"/>
      <c r="I55" s="99"/>
      <c r="J55" s="99"/>
      <c r="K55" s="99"/>
      <c r="L55" s="99"/>
      <c r="M55" s="99"/>
      <c r="N55" s="99"/>
      <c r="O55" s="99"/>
      <c r="P55" s="99"/>
      <c r="Q55" s="99"/>
      <c r="R55" s="99"/>
      <c r="S55" s="99"/>
    </row>
    <row r="56" spans="1:19" ht="12.75">
      <c r="A56" s="99"/>
      <c r="B56" s="99"/>
      <c r="C56" s="99"/>
      <c r="D56" s="99"/>
      <c r="E56" s="99"/>
      <c r="F56" s="99"/>
      <c r="G56" s="99"/>
      <c r="H56" s="99"/>
      <c r="I56" s="99"/>
      <c r="J56" s="99"/>
      <c r="K56" s="99"/>
      <c r="L56" s="99"/>
      <c r="M56" s="99"/>
      <c r="N56" s="99"/>
      <c r="O56" s="99"/>
      <c r="P56" s="99"/>
      <c r="Q56" s="99"/>
      <c r="R56" s="99"/>
      <c r="S56" s="99"/>
    </row>
    <row r="57" spans="1:19" ht="12.75">
      <c r="A57" s="99"/>
      <c r="B57" s="99"/>
      <c r="C57" s="99"/>
      <c r="D57" s="99"/>
      <c r="E57" s="99"/>
      <c r="F57" s="99"/>
      <c r="G57" s="99"/>
      <c r="H57" s="99"/>
      <c r="I57" s="99"/>
      <c r="J57" s="99"/>
      <c r="K57" s="99"/>
      <c r="L57" s="99"/>
      <c r="M57" s="99"/>
      <c r="N57" s="99"/>
      <c r="O57" s="99"/>
      <c r="P57" s="99"/>
      <c r="Q57" s="99"/>
      <c r="R57" s="99"/>
      <c r="S57" s="99"/>
    </row>
    <row r="58" spans="1:19" ht="12.75">
      <c r="A58" s="99"/>
      <c r="B58" s="99"/>
      <c r="C58" s="99"/>
      <c r="D58" s="99"/>
      <c r="E58" s="99"/>
      <c r="F58" s="99"/>
      <c r="G58" s="99"/>
      <c r="H58" s="99"/>
      <c r="I58" s="99"/>
      <c r="J58" s="99"/>
      <c r="K58" s="99"/>
      <c r="L58" s="99"/>
      <c r="M58" s="99"/>
      <c r="N58" s="99"/>
      <c r="O58" s="99"/>
      <c r="P58" s="99"/>
      <c r="Q58" s="99"/>
      <c r="R58" s="99"/>
      <c r="S58" s="99"/>
    </row>
    <row r="59" spans="1:19" ht="12.75">
      <c r="A59" s="99"/>
      <c r="B59" s="99"/>
      <c r="C59" s="99"/>
      <c r="D59" s="99"/>
      <c r="E59" s="99"/>
      <c r="F59" s="99"/>
      <c r="G59" s="99"/>
      <c r="H59" s="99"/>
      <c r="I59" s="99"/>
      <c r="J59" s="99"/>
      <c r="K59" s="99"/>
      <c r="L59" s="99"/>
      <c r="M59" s="99"/>
      <c r="N59" s="99"/>
      <c r="O59" s="99"/>
      <c r="P59" s="99"/>
      <c r="Q59" s="99"/>
      <c r="R59" s="99"/>
      <c r="S59" s="99"/>
    </row>
    <row r="60" spans="1:19" ht="12.75">
      <c r="A60" s="99"/>
      <c r="B60" s="99"/>
      <c r="C60" s="99"/>
      <c r="D60" s="99"/>
      <c r="E60" s="99"/>
      <c r="F60" s="99"/>
      <c r="G60" s="99"/>
      <c r="H60" s="99"/>
      <c r="I60" s="99"/>
      <c r="J60" s="99"/>
      <c r="K60" s="99"/>
      <c r="L60" s="99"/>
      <c r="M60" s="99"/>
      <c r="N60" s="99"/>
      <c r="O60" s="99"/>
      <c r="P60" s="99"/>
      <c r="Q60" s="99"/>
      <c r="R60" s="99"/>
      <c r="S60" s="99"/>
    </row>
    <row r="61" spans="1:19" ht="12.75">
      <c r="A61" s="99"/>
      <c r="B61" s="99"/>
      <c r="C61" s="99"/>
      <c r="D61" s="99"/>
      <c r="E61" s="99"/>
      <c r="F61" s="99"/>
      <c r="G61" s="99"/>
      <c r="H61" s="99"/>
      <c r="I61" s="99"/>
      <c r="J61" s="99"/>
      <c r="K61" s="99"/>
      <c r="L61" s="99"/>
      <c r="M61" s="99"/>
      <c r="N61" s="99"/>
      <c r="O61" s="99"/>
      <c r="P61" s="99"/>
      <c r="Q61" s="99"/>
      <c r="R61" s="99"/>
      <c r="S61" s="99"/>
    </row>
    <row r="62" spans="1:19" ht="12.75">
      <c r="A62" s="99"/>
      <c r="B62" s="99"/>
      <c r="C62" s="99"/>
      <c r="D62" s="99"/>
      <c r="E62" s="99"/>
      <c r="F62" s="99"/>
      <c r="G62" s="99"/>
      <c r="H62" s="99"/>
      <c r="I62" s="99"/>
      <c r="J62" s="99"/>
      <c r="K62" s="99"/>
      <c r="L62" s="99"/>
      <c r="M62" s="99"/>
      <c r="N62" s="99"/>
      <c r="O62" s="99"/>
      <c r="P62" s="99"/>
      <c r="Q62" s="99"/>
      <c r="R62" s="99"/>
      <c r="S62" s="99"/>
    </row>
    <row r="63" spans="1:19" ht="12.75">
      <c r="A63" s="99"/>
      <c r="B63" s="99"/>
      <c r="C63" s="99"/>
      <c r="D63" s="99"/>
      <c r="E63" s="99"/>
      <c r="F63" s="99"/>
      <c r="G63" s="99"/>
      <c r="H63" s="99"/>
      <c r="I63" s="99"/>
      <c r="J63" s="99"/>
      <c r="K63" s="99"/>
      <c r="L63" s="99"/>
      <c r="M63" s="99"/>
      <c r="N63" s="99"/>
      <c r="O63" s="99"/>
      <c r="P63" s="99"/>
      <c r="Q63" s="99"/>
      <c r="R63" s="99"/>
      <c r="S63" s="99"/>
    </row>
    <row r="64" spans="1:19" ht="12.75">
      <c r="A64" s="99"/>
      <c r="B64" s="99"/>
      <c r="C64" s="99"/>
      <c r="D64" s="99"/>
      <c r="E64" s="99"/>
      <c r="F64" s="99"/>
      <c r="G64" s="99"/>
      <c r="H64" s="99"/>
      <c r="I64" s="99"/>
      <c r="J64" s="99"/>
      <c r="K64" s="99"/>
      <c r="L64" s="99"/>
      <c r="M64" s="99"/>
      <c r="N64" s="99"/>
      <c r="O64" s="99"/>
      <c r="P64" s="99"/>
      <c r="Q64" s="99"/>
      <c r="R64" s="99"/>
      <c r="S64" s="99"/>
    </row>
    <row r="65" spans="1:19" ht="12.75">
      <c r="A65" s="99"/>
      <c r="B65" s="99"/>
      <c r="C65" s="99"/>
      <c r="D65" s="99"/>
      <c r="E65" s="99"/>
      <c r="F65" s="99"/>
      <c r="G65" s="99"/>
      <c r="H65" s="99"/>
      <c r="I65" s="99"/>
      <c r="J65" s="99"/>
      <c r="K65" s="99"/>
      <c r="L65" s="99"/>
      <c r="M65" s="99"/>
      <c r="N65" s="99"/>
      <c r="O65" s="99"/>
      <c r="P65" s="99"/>
      <c r="Q65" s="99"/>
      <c r="R65" s="99"/>
      <c r="S65" s="99"/>
    </row>
    <row r="66" spans="1:12" ht="12.75">
      <c r="A66" s="99"/>
      <c r="B66" s="99"/>
      <c r="C66" s="99"/>
      <c r="D66" s="99"/>
      <c r="E66" s="99"/>
      <c r="F66" s="99"/>
      <c r="G66" s="99"/>
      <c r="H66" s="99"/>
      <c r="I66" s="99"/>
      <c r="J66" s="99"/>
      <c r="K66" s="99"/>
      <c r="L66" s="99"/>
    </row>
  </sheetData>
  <mergeCells count="4">
    <mergeCell ref="H8:H11"/>
    <mergeCell ref="B34:C34"/>
    <mergeCell ref="B35:C35"/>
    <mergeCell ref="G9:G11"/>
  </mergeCells>
  <printOptions/>
  <pageMargins left="0.75" right="0.75" top="1" bottom="1" header="0" footer="0"/>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4:H48"/>
  <sheetViews>
    <sheetView workbookViewId="0" topLeftCell="A19">
      <selection activeCell="E33" sqref="E33"/>
    </sheetView>
  </sheetViews>
  <sheetFormatPr defaultColWidth="11.421875" defaultRowHeight="12.75"/>
  <cols>
    <col min="8" max="8" width="13.00390625" style="0" customWidth="1"/>
  </cols>
  <sheetData>
    <row r="4" ht="12.75">
      <c r="B4" t="s">
        <v>36</v>
      </c>
    </row>
    <row r="5" spans="2:8" ht="12.75">
      <c r="B5">
        <v>0</v>
      </c>
      <c r="C5">
        <v>0.00016000005416572094</v>
      </c>
      <c r="D5">
        <v>0</v>
      </c>
      <c r="E5">
        <v>0.0001599999377503991</v>
      </c>
      <c r="F5">
        <v>0</v>
      </c>
      <c r="G5">
        <v>0.00021000008564442396</v>
      </c>
      <c r="H5">
        <v>0</v>
      </c>
    </row>
    <row r="6" spans="2:8" ht="12.75">
      <c r="B6">
        <v>6.866999626159668</v>
      </c>
      <c r="C6">
        <v>0.19760876893997192</v>
      </c>
      <c r="D6">
        <v>0.19229000806808472</v>
      </c>
      <c r="E6">
        <v>0.19752000272274017</v>
      </c>
      <c r="F6">
        <v>0.19217999279499054</v>
      </c>
      <c r="G6">
        <v>0.19753998517990112</v>
      </c>
      <c r="H6">
        <v>0.19214999675750732</v>
      </c>
    </row>
    <row r="7" spans="2:8" ht="12.75">
      <c r="B7">
        <v>13.733999252319336</v>
      </c>
      <c r="C7">
        <v>0.39283856749534607</v>
      </c>
      <c r="D7">
        <v>0.38978835940361023</v>
      </c>
      <c r="E7">
        <v>0.3927685618400574</v>
      </c>
      <c r="F7">
        <v>0.38965997099876404</v>
      </c>
      <c r="G7">
        <v>0.39281854033470154</v>
      </c>
      <c r="H7">
        <v>0.3896683156490326</v>
      </c>
    </row>
    <row r="8" spans="2:8" ht="12.75">
      <c r="B8">
        <v>20.60099983215332</v>
      </c>
      <c r="C8">
        <v>0.5905100107192993</v>
      </c>
      <c r="D8">
        <v>0.5901899933815002</v>
      </c>
      <c r="E8">
        <v>0.5903500318527222</v>
      </c>
      <c r="F8">
        <v>0.5901000499725342</v>
      </c>
      <c r="G8">
        <v>0.5903300046920776</v>
      </c>
      <c r="H8">
        <v>0.5900900363922119</v>
      </c>
    </row>
    <row r="9" spans="2:8" ht="12.75">
      <c r="B9">
        <v>27.467998504638672</v>
      </c>
      <c r="C9">
        <v>0.7909600138664246</v>
      </c>
      <c r="D9">
        <v>0.7909300327301025</v>
      </c>
      <c r="E9">
        <v>0.7908499836921692</v>
      </c>
      <c r="F9">
        <v>0.790869951248169</v>
      </c>
      <c r="G9">
        <v>0.7908986806869507</v>
      </c>
      <c r="H9">
        <v>0.7908599376678467</v>
      </c>
    </row>
    <row r="10" spans="2:8" ht="12.75">
      <c r="B10">
        <v>34.334999084472656</v>
      </c>
      <c r="C10">
        <v>0.9917500019073486</v>
      </c>
      <c r="D10">
        <v>0.9916999936103821</v>
      </c>
      <c r="E10">
        <v>0.9916900396347046</v>
      </c>
      <c r="F10">
        <v>0.9916900396347046</v>
      </c>
      <c r="G10">
        <v>0.9916900396347046</v>
      </c>
      <c r="H10">
        <v>0.9916900396347046</v>
      </c>
    </row>
    <row r="11" spans="2:8" ht="12.75">
      <c r="B11">
        <v>41.20199966430664</v>
      </c>
      <c r="C11">
        <v>1.192699909210205</v>
      </c>
      <c r="D11">
        <v>1.192639946937561</v>
      </c>
      <c r="E11">
        <v>1.1926300525665283</v>
      </c>
      <c r="F11">
        <v>1.1924999952316284</v>
      </c>
      <c r="G11">
        <v>1.1923999786376953</v>
      </c>
      <c r="H11">
        <v>1.192449927330017</v>
      </c>
    </row>
    <row r="12" spans="2:8" ht="12.75">
      <c r="B12">
        <v>48.069000244140625</v>
      </c>
      <c r="C12">
        <v>1.3935999870300293</v>
      </c>
      <c r="D12">
        <v>1.3934400081634521</v>
      </c>
      <c r="E12">
        <v>1.3934999704360962</v>
      </c>
      <c r="F12">
        <v>1.3932700157165527</v>
      </c>
      <c r="G12">
        <v>1.3934400081634521</v>
      </c>
      <c r="H12">
        <v>1.393339991569519</v>
      </c>
    </row>
    <row r="13" spans="2:8" ht="12.75">
      <c r="B13">
        <v>54.935997009277344</v>
      </c>
      <c r="C13">
        <v>1.5945398807525635</v>
      </c>
      <c r="D13">
        <v>1.5943398475646973</v>
      </c>
      <c r="E13">
        <v>1.5944688320159912</v>
      </c>
      <c r="F13">
        <v>1.5943598747253418</v>
      </c>
      <c r="G13">
        <v>1.594288945198059</v>
      </c>
      <c r="H13">
        <v>1.594269871711731</v>
      </c>
    </row>
    <row r="14" spans="2:8" ht="12.75">
      <c r="B14">
        <v>61.80299758911133</v>
      </c>
      <c r="C14">
        <v>1.7954899072647095</v>
      </c>
      <c r="D14">
        <v>1.7953599691390991</v>
      </c>
      <c r="E14">
        <v>1.7951998710632324</v>
      </c>
      <c r="F14">
        <v>1.79531991481781</v>
      </c>
      <c r="G14">
        <v>1.7953097820281982</v>
      </c>
      <c r="H14">
        <v>1.795219898223877</v>
      </c>
    </row>
    <row r="15" spans="2:7" ht="12.75">
      <c r="B15">
        <v>68.66999816894531</v>
      </c>
      <c r="C15">
        <v>1.9963988065719604</v>
      </c>
      <c r="E15">
        <v>1.996298909187317</v>
      </c>
      <c r="G15">
        <v>1.9962400197982788</v>
      </c>
    </row>
    <row r="16" spans="2:8" ht="12.75">
      <c r="B16">
        <v>0</v>
      </c>
      <c r="C16">
        <v>0</v>
      </c>
      <c r="D16">
        <v>-1.9999919459223747E-05</v>
      </c>
      <c r="E16">
        <v>0</v>
      </c>
      <c r="F16">
        <v>-0.00010000006295740604</v>
      </c>
      <c r="G16">
        <v>0</v>
      </c>
      <c r="H16">
        <v>-6.999995093792677E-05</v>
      </c>
    </row>
    <row r="19" ht="12.75">
      <c r="B19" t="s">
        <v>37</v>
      </c>
    </row>
    <row r="20" spans="2:4" ht="12.75">
      <c r="B20">
        <v>-0.0007600000244565308</v>
      </c>
      <c r="C20">
        <v>-0.0011899999808520079</v>
      </c>
      <c r="D20">
        <v>-0.0012700000079348683</v>
      </c>
    </row>
    <row r="21" spans="2:4" ht="12.75">
      <c r="B21">
        <v>1.9928100109100342</v>
      </c>
      <c r="C21">
        <v>1.9931600093841553</v>
      </c>
      <c r="D21">
        <v>1.9937399625778198</v>
      </c>
    </row>
    <row r="22" spans="2:4" ht="12.75">
      <c r="B22">
        <v>-0.001550000044517219</v>
      </c>
      <c r="C22">
        <v>-0.001610000035725534</v>
      </c>
      <c r="D22">
        <v>-0.0016799999866634607</v>
      </c>
    </row>
    <row r="25" ht="12.75">
      <c r="B25" t="s">
        <v>38</v>
      </c>
    </row>
    <row r="29" ht="12.75">
      <c r="B29" t="s">
        <v>39</v>
      </c>
    </row>
    <row r="30" spans="3:4" ht="12.75">
      <c r="C30">
        <v>0</v>
      </c>
      <c r="D30">
        <v>-0.0009899999713525176</v>
      </c>
    </row>
    <row r="31" spans="2:4" ht="12.75">
      <c r="B31" s="98">
        <v>0</v>
      </c>
      <c r="C31">
        <v>68.66999816894531</v>
      </c>
      <c r="D31">
        <v>1.9965009689331055</v>
      </c>
    </row>
    <row r="32" spans="2:4" ht="12.75">
      <c r="B32" s="98">
        <v>0.001388888888888889</v>
      </c>
      <c r="C32">
        <v>68.66999816894531</v>
      </c>
      <c r="D32">
        <v>1.9963128566741943</v>
      </c>
    </row>
    <row r="33" spans="2:4" ht="12.75">
      <c r="B33" s="98">
        <v>0.002824074074074074</v>
      </c>
      <c r="C33">
        <v>68.66999816894531</v>
      </c>
      <c r="D33">
        <v>1.9961628913879395</v>
      </c>
    </row>
    <row r="34" spans="2:4" ht="12.75">
      <c r="B34" s="98">
        <v>0.0042824074074074075</v>
      </c>
      <c r="C34">
        <v>68.66999816894531</v>
      </c>
      <c r="D34">
        <v>1.9961671829223633</v>
      </c>
    </row>
    <row r="35" spans="2:4" ht="12.75">
      <c r="B35" s="98">
        <v>0.005555555555555556</v>
      </c>
      <c r="C35">
        <v>68.66999816894531</v>
      </c>
      <c r="D35">
        <v>1.996090054512024</v>
      </c>
    </row>
    <row r="36" spans="2:4" ht="12.75">
      <c r="B36" s="98">
        <v>0.007152777777777779</v>
      </c>
      <c r="C36">
        <v>68.66999816894531</v>
      </c>
      <c r="D36">
        <v>1.99599289894104</v>
      </c>
    </row>
    <row r="37" spans="2:4" ht="12.75">
      <c r="B37" s="98">
        <v>0.008333333333333333</v>
      </c>
      <c r="C37">
        <v>68.66999816894531</v>
      </c>
      <c r="D37">
        <v>1.9959990978240967</v>
      </c>
    </row>
    <row r="38" spans="2:4" ht="12.75">
      <c r="B38" s="98">
        <v>0.009722222222222222</v>
      </c>
      <c r="C38">
        <v>68.66999816894531</v>
      </c>
      <c r="D38">
        <v>1.9959709644317627</v>
      </c>
    </row>
    <row r="39" spans="2:4" ht="12.75">
      <c r="B39" s="98">
        <v>0.011377314814814814</v>
      </c>
      <c r="C39">
        <v>68.66999816894531</v>
      </c>
      <c r="D39">
        <v>1.9959172010421753</v>
      </c>
    </row>
    <row r="40" spans="2:4" ht="12.75">
      <c r="B40" s="98">
        <v>0.012569444444444446</v>
      </c>
      <c r="C40">
        <v>68.66999816894531</v>
      </c>
      <c r="D40">
        <v>1.995892882347107</v>
      </c>
    </row>
    <row r="41" spans="2:4" ht="12.75">
      <c r="B41" s="98">
        <v>0.013888888888888888</v>
      </c>
      <c r="C41">
        <v>68.66999816894531</v>
      </c>
      <c r="D41">
        <v>1.995911955833435</v>
      </c>
    </row>
    <row r="42" spans="2:4" ht="12.75">
      <c r="B42" s="98">
        <v>0.015277777777777777</v>
      </c>
      <c r="C42">
        <v>68.66999816894531</v>
      </c>
      <c r="D42">
        <v>1.9958699941635132</v>
      </c>
    </row>
    <row r="43" spans="2:4" ht="12.75">
      <c r="B43" s="98">
        <v>0.016689814814814817</v>
      </c>
      <c r="C43">
        <v>68.66999816894531</v>
      </c>
      <c r="D43">
        <v>1.9958128929138184</v>
      </c>
    </row>
    <row r="44" spans="2:4" ht="12.75">
      <c r="B44" s="98">
        <v>0.018055555555555557</v>
      </c>
      <c r="C44">
        <v>68.66999816894531</v>
      </c>
      <c r="D44">
        <v>1.9958419799804688</v>
      </c>
    </row>
    <row r="45" spans="2:4" ht="12.75">
      <c r="B45" s="98">
        <v>0.019444444444444445</v>
      </c>
      <c r="C45">
        <v>68.66999816894531</v>
      </c>
      <c r="D45">
        <v>1.9958208799362183</v>
      </c>
    </row>
    <row r="46" spans="3:4" ht="12.75">
      <c r="C46">
        <v>0</v>
      </c>
      <c r="D46">
        <v>-0.0017500000540167093</v>
      </c>
    </row>
    <row r="47" spans="2:4" ht="12.75">
      <c r="B47" s="9"/>
      <c r="C47" s="9"/>
      <c r="D47" s="9"/>
    </row>
    <row r="48" spans="2:4" ht="12.75">
      <c r="B48" s="9"/>
      <c r="C48" s="9"/>
      <c r="D48" s="9"/>
    </row>
  </sheetData>
  <printOptions/>
  <pageMargins left="0.75" right="0.75" top="1" bottom="1" header="0" footer="0"/>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M21"/>
  <sheetViews>
    <sheetView workbookViewId="0" topLeftCell="A1">
      <selection activeCell="B21" sqref="B21"/>
    </sheetView>
  </sheetViews>
  <sheetFormatPr defaultColWidth="11.421875" defaultRowHeight="12.75"/>
  <cols>
    <col min="1" max="1" width="16.57421875" style="0" customWidth="1"/>
    <col min="2" max="2" width="16.8515625" style="0" customWidth="1"/>
    <col min="3" max="3" width="13.7109375" style="0" customWidth="1"/>
    <col min="4" max="4" width="10.421875" style="0" customWidth="1"/>
    <col min="5" max="5" width="9.8515625" style="0" customWidth="1"/>
    <col min="6" max="6" width="11.7109375" style="0" bestFit="1" customWidth="1"/>
  </cols>
  <sheetData>
    <row r="1" spans="2:5" ht="15.75">
      <c r="B1" s="253" t="s">
        <v>115</v>
      </c>
      <c r="C1" s="253"/>
      <c r="D1" s="253"/>
      <c r="E1" s="253"/>
    </row>
    <row r="2" spans="1:8" ht="26.25">
      <c r="A2" s="225" t="s">
        <v>127</v>
      </c>
      <c r="B2" s="226" t="s">
        <v>128</v>
      </c>
      <c r="C2" s="162" t="s">
        <v>99</v>
      </c>
      <c r="D2" s="162" t="s">
        <v>100</v>
      </c>
      <c r="E2" s="162" t="s">
        <v>101</v>
      </c>
      <c r="F2" s="162" t="s">
        <v>102</v>
      </c>
      <c r="H2" s="230" t="s">
        <v>139</v>
      </c>
    </row>
    <row r="3" spans="1:8" ht="12.75">
      <c r="A3" s="159" t="s">
        <v>129</v>
      </c>
      <c r="B3" s="160" t="s">
        <v>130</v>
      </c>
      <c r="C3" s="159" t="s">
        <v>103</v>
      </c>
      <c r="D3" s="160" t="s">
        <v>104</v>
      </c>
      <c r="E3" s="161" t="s">
        <v>105</v>
      </c>
      <c r="F3" s="160" t="s">
        <v>106</v>
      </c>
      <c r="H3" s="99" t="s">
        <v>137</v>
      </c>
    </row>
    <row r="4" spans="1:8" ht="22.5">
      <c r="A4" s="159" t="s">
        <v>131</v>
      </c>
      <c r="B4" s="160" t="s">
        <v>132</v>
      </c>
      <c r="C4" s="159" t="s">
        <v>107</v>
      </c>
      <c r="D4" s="160" t="s">
        <v>108</v>
      </c>
      <c r="E4" s="161" t="s">
        <v>109</v>
      </c>
      <c r="F4" s="160" t="s">
        <v>110</v>
      </c>
      <c r="H4" s="99" t="s">
        <v>138</v>
      </c>
    </row>
    <row r="5" spans="1:6" ht="22.5">
      <c r="A5" s="159" t="s">
        <v>133</v>
      </c>
      <c r="B5" s="160" t="s">
        <v>134</v>
      </c>
      <c r="C5" s="159" t="s">
        <v>111</v>
      </c>
      <c r="D5" s="160" t="s">
        <v>112</v>
      </c>
      <c r="E5" s="161" t="s">
        <v>113</v>
      </c>
      <c r="F5" s="160" t="s">
        <v>114</v>
      </c>
    </row>
    <row r="8" spans="1:6" ht="12.75">
      <c r="A8" s="15"/>
      <c r="B8" s="15"/>
      <c r="C8" s="15"/>
      <c r="D8" s="15"/>
      <c r="E8" s="15"/>
      <c r="F8" s="15"/>
    </row>
    <row r="9" spans="1:6" ht="12.75">
      <c r="A9" s="15"/>
      <c r="B9" s="15"/>
      <c r="C9" s="15"/>
      <c r="D9" s="15"/>
      <c r="E9" s="15"/>
      <c r="F9" s="15"/>
    </row>
    <row r="10" spans="1:6" ht="12.75">
      <c r="A10" s="10" t="s">
        <v>116</v>
      </c>
      <c r="C10" s="13" t="s">
        <v>82</v>
      </c>
      <c r="D10" s="14"/>
      <c r="E10" s="15"/>
      <c r="F10" s="227" t="s">
        <v>136</v>
      </c>
    </row>
    <row r="11" spans="1:8" ht="12.75">
      <c r="A11" s="103" t="str">
        <f>TEXT(B11,"#")&amp;" v"</f>
        <v>500 v</v>
      </c>
      <c r="B11" s="163">
        <f>IF(Informe!D20=1,50000,IF(Informe!D20=2,5000,IF(Informe!D20=3,500,IF(Informe!D20=4,50))))</f>
        <v>500</v>
      </c>
      <c r="C11" s="121">
        <f>B11*'Tabla A1'!$D$42</f>
        <v>1166.6666666666667</v>
      </c>
      <c r="D11" s="15"/>
      <c r="E11" s="15"/>
      <c r="F11" s="99">
        <f>VLOOKUP(Auxiliar!H17,'Tabla A1'!C18:C28,1)</f>
        <v>4900</v>
      </c>
      <c r="G11" s="15">
        <f>MATCH(F11,'Tabla A1'!C18:C28,1)</f>
        <v>8</v>
      </c>
      <c r="H11" s="99">
        <f>INDEX('Tabla A1'!G18:G28,G11,1)</f>
        <v>1.3935133218765259</v>
      </c>
    </row>
    <row r="12" spans="1:8" ht="12.75">
      <c r="A12" s="103" t="str">
        <f>TEXT(B12,"#")&amp;" v"</f>
        <v>2000 v</v>
      </c>
      <c r="B12" s="163">
        <f>IF(Informe!D20=3,2000,IF(Informe!D20=4,200))</f>
        <v>2000</v>
      </c>
      <c r="C12" s="121">
        <f>B12*'Tabla A1'!$D$42</f>
        <v>4666.666666666667</v>
      </c>
      <c r="D12" s="15"/>
      <c r="E12" s="15"/>
      <c r="F12" s="99">
        <f>INDEX('Tabla A1'!C18:C28,G12,1)</f>
        <v>5600</v>
      </c>
      <c r="G12" s="10">
        <f>G11+1</f>
        <v>9</v>
      </c>
      <c r="H12" s="99">
        <f>INDEX('Tabla A1'!G18:G28,G12,1)</f>
        <v>1.5944325526555378</v>
      </c>
    </row>
    <row r="13" spans="1:8" ht="12.75">
      <c r="A13" s="103" t="str">
        <f>TEXT(B13,"#")&amp;" v"</f>
        <v>10000 v</v>
      </c>
      <c r="B13" s="163">
        <f>IF(Informe!D20=3,10000,IF(Informe!D20=4,1000))</f>
        <v>10000</v>
      </c>
      <c r="C13" s="121">
        <f>B13*'Tabla A1'!$D$42</f>
        <v>23333.333333333336</v>
      </c>
      <c r="D13" s="15"/>
      <c r="E13" s="15"/>
      <c r="F13" s="15">
        <f>F12-F11</f>
        <v>700</v>
      </c>
      <c r="H13">
        <f>H12-H11</f>
        <v>0.20091923077901197</v>
      </c>
    </row>
    <row r="14" spans="1:8" ht="12.75">
      <c r="A14" s="15"/>
      <c r="B14" s="15"/>
      <c r="C14" s="15"/>
      <c r="D14" s="15"/>
      <c r="E14" s="15"/>
      <c r="F14" s="229">
        <f>Auxiliar!H17-Auxiliar!F11</f>
        <v>350</v>
      </c>
      <c r="H14" s="228">
        <f>(F14*H13/F13)+H11</f>
        <v>1.4939729372660318</v>
      </c>
    </row>
    <row r="17" spans="6:13" ht="12.75">
      <c r="F17" s="135" t="s">
        <v>21</v>
      </c>
      <c r="G17" s="103"/>
      <c r="H17" s="136">
        <f>0.75*(Informe!D17-Informe!D18)+Informe!D18</f>
        <v>5250</v>
      </c>
      <c r="I17" s="103" t="s">
        <v>8</v>
      </c>
      <c r="J17" s="127"/>
      <c r="K17" s="103"/>
      <c r="L17" s="103"/>
      <c r="M17" s="103"/>
    </row>
    <row r="18" spans="6:13" ht="12.75">
      <c r="F18" s="254" t="s">
        <v>51</v>
      </c>
      <c r="G18" s="255"/>
      <c r="H18" s="255"/>
      <c r="I18" s="255"/>
      <c r="J18" s="255"/>
      <c r="K18" s="255"/>
      <c r="L18" s="255"/>
      <c r="M18" s="255"/>
    </row>
    <row r="19" spans="6:13" ht="12.75">
      <c r="F19" s="255"/>
      <c r="G19" s="255"/>
      <c r="H19" s="255"/>
      <c r="I19" s="255"/>
      <c r="J19" s="255"/>
      <c r="K19" s="255"/>
      <c r="L19" s="255"/>
      <c r="M19" s="255"/>
    </row>
    <row r="20" spans="6:13" ht="13.5" thickBot="1">
      <c r="F20" s="255"/>
      <c r="G20" s="255"/>
      <c r="H20" s="255"/>
      <c r="I20" s="255"/>
      <c r="J20" s="255"/>
      <c r="K20" s="255"/>
      <c r="L20" s="255"/>
      <c r="M20" s="255"/>
    </row>
    <row r="21" spans="6:13" ht="13.5" thickBot="1">
      <c r="F21" s="103" t="s">
        <v>135</v>
      </c>
      <c r="G21" s="103"/>
      <c r="H21" s="62">
        <f>H14</f>
        <v>1.4939729372660318</v>
      </c>
      <c r="I21" s="103"/>
      <c r="J21" s="103"/>
      <c r="K21" s="103"/>
      <c r="L21" s="103"/>
      <c r="M21" s="103"/>
    </row>
  </sheetData>
  <sheetProtection sheet="1" objects="1" scenarios="1"/>
  <mergeCells count="2">
    <mergeCell ref="B1:E1"/>
    <mergeCell ref="F18:M20"/>
  </mergeCells>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VEIASA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mmendez</dc:creator>
  <cp:keywords/>
  <dc:description/>
  <cp:lastModifiedBy>Peri</cp:lastModifiedBy>
  <cp:lastPrinted>2003-09-02T12:36:20Z</cp:lastPrinted>
  <dcterms:created xsi:type="dcterms:W3CDTF">2002-10-11T09:43:58Z</dcterms:created>
  <dcterms:modified xsi:type="dcterms:W3CDTF">2003-09-28T19:28:15Z</dcterms:modified>
  <cp:category/>
  <cp:version/>
  <cp:contentType/>
  <cp:contentStatus/>
</cp:coreProperties>
</file>