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70" yWindow="65446" windowWidth="11340" windowHeight="7110" activeTab="4"/>
  </bookViews>
  <sheets>
    <sheet name="Informe" sheetId="1" r:id="rId1"/>
    <sheet name="informe1" sheetId="2" r:id="rId2"/>
    <sheet name="calculos auxiliar" sheetId="3" r:id="rId3"/>
    <sheet name="calcul inc" sheetId="4" r:id="rId4"/>
    <sheet name="Unidades" sheetId="5" r:id="rId5"/>
  </sheets>
  <externalReferences>
    <externalReference r:id="rId8"/>
  </externalReferences>
  <definedNames>
    <definedName name="CargaMaximaTransCal">'Informe'!#REF!</definedName>
    <definedName name="CargaMaximaTransPat">'Informe'!#REF!</definedName>
    <definedName name="Certificado">'Informe'!#REF!</definedName>
    <definedName name="FechaCalibracion">'Informe'!#REF!</definedName>
    <definedName name="Instrumento">'Informe'!#REF!</definedName>
    <definedName name="MarcaIndCal">'Informe'!#REF!</definedName>
    <definedName name="MarcaIndPat">'Informe'!#REF!</definedName>
    <definedName name="MarcaTransCal">'Informe'!#REF!</definedName>
    <definedName name="MarcaTransPat">'Informe'!#REF!</definedName>
    <definedName name="ModeloIndCal">'Informe'!#REF!</definedName>
    <definedName name="ModeloIndPat">'Informe'!#REF!</definedName>
    <definedName name="ModeloTransCal">'Informe'!#REF!</definedName>
    <definedName name="ModeloTransPat">'Informe'!#REF!</definedName>
    <definedName name="NormaCalibracion">'Informe'!#REF!</definedName>
    <definedName name="Peticionario">'Informe'!#REF!</definedName>
    <definedName name="SerieIndCal">'Informe'!#REF!</definedName>
    <definedName name="SerieIndPatron">'Informe'!#REF!</definedName>
    <definedName name="SerieTransCal">'Informe'!#REF!</definedName>
    <definedName name="SerieTransPat">'Informe'!#REF!</definedName>
    <definedName name="Tecnico">'Informe'!#REF!</definedName>
    <definedName name="Temperatura">'Informe'!#REF!</definedName>
    <definedName name="TipoCalibracion">'Informe'!#REF!</definedName>
    <definedName name="UniCargaMaximaTransCal">'Informe'!#REF!</definedName>
  </definedNames>
  <calcPr fullCalcOnLoad="1"/>
</workbook>
</file>

<file path=xl/sharedStrings.xml><?xml version="1.0" encoding="utf-8"?>
<sst xmlns="http://schemas.openxmlformats.org/spreadsheetml/2006/main" count="137" uniqueCount="121">
  <si>
    <t xml:space="preserve">Fuerza </t>
  </si>
  <si>
    <t>Serie 1</t>
  </si>
  <si>
    <t>Serie 2</t>
  </si>
  <si>
    <t>Serie 3</t>
  </si>
  <si>
    <t>Serie 4</t>
  </si>
  <si>
    <t>las tendria que coger de las lecturas</t>
  </si>
  <si>
    <t>Series de medidas</t>
  </si>
  <si>
    <r>
      <t>Error relativo de cero (f</t>
    </r>
    <r>
      <rPr>
        <b/>
        <u val="single"/>
        <vertAlign val="subscript"/>
        <sz val="10"/>
        <rFont val="Arial"/>
        <family val="2"/>
      </rPr>
      <t>0</t>
    </r>
    <r>
      <rPr>
        <b/>
        <u val="single"/>
        <sz val="10"/>
        <rFont val="Arial"/>
        <family val="2"/>
      </rPr>
      <t>)</t>
    </r>
  </si>
  <si>
    <t>SERIE</t>
  </si>
  <si>
    <r>
      <t>X</t>
    </r>
    <r>
      <rPr>
        <vertAlign val="subscript"/>
        <sz val="10"/>
        <rFont val="Arial"/>
        <family val="2"/>
      </rPr>
      <t>1</t>
    </r>
  </si>
  <si>
    <r>
      <t>X</t>
    </r>
    <r>
      <rPr>
        <vertAlign val="subscript"/>
        <sz val="10"/>
        <rFont val="Arial"/>
        <family val="2"/>
      </rPr>
      <t>2</t>
    </r>
  </si>
  <si>
    <r>
      <t>X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-X</t>
    </r>
    <r>
      <rPr>
        <vertAlign val="subscript"/>
        <sz val="10"/>
        <rFont val="Arial"/>
        <family val="2"/>
      </rPr>
      <t>4</t>
    </r>
  </si>
  <si>
    <r>
      <t>X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-X</t>
    </r>
    <r>
      <rPr>
        <vertAlign val="subscript"/>
        <sz val="10"/>
        <rFont val="Arial"/>
        <family val="2"/>
      </rPr>
      <t>6</t>
    </r>
  </si>
  <si>
    <r>
      <t>f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(%)</t>
    </r>
  </si>
  <si>
    <t>Fuerza en KN</t>
  </si>
  <si>
    <r>
      <t>X</t>
    </r>
    <r>
      <rPr>
        <b/>
        <vertAlign val="subscript"/>
        <sz val="10"/>
        <rFont val="Arial"/>
        <family val="2"/>
      </rPr>
      <t>r</t>
    </r>
  </si>
  <si>
    <t>b(%)</t>
  </si>
  <si>
    <r>
      <t>X</t>
    </r>
    <r>
      <rPr>
        <b/>
        <vertAlign val="subscript"/>
        <sz val="10"/>
        <rFont val="Arial"/>
        <family val="2"/>
      </rPr>
      <t>wr</t>
    </r>
  </si>
  <si>
    <t>b´(%)</t>
  </si>
  <si>
    <r>
      <t>f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>(%)</t>
    </r>
  </si>
  <si>
    <t>v(%)</t>
  </si>
  <si>
    <r>
      <t>Errores relativos de repetibilidad con rotación (b) sin rotación (b´), de interpolación (f</t>
    </r>
    <r>
      <rPr>
        <b/>
        <u val="single"/>
        <vertAlign val="subscript"/>
        <sz val="10"/>
        <rFont val="Arial"/>
        <family val="2"/>
      </rPr>
      <t>c</t>
    </r>
    <r>
      <rPr>
        <b/>
        <u val="single"/>
        <sz val="10"/>
        <rFont val="Arial"/>
        <family val="2"/>
      </rPr>
      <t>) y de reversibilidad</t>
    </r>
  </si>
  <si>
    <t>este valor es el cero tras la serie descendente</t>
  </si>
  <si>
    <r>
      <t>f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=(X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f/X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)*100</t>
    </r>
  </si>
  <si>
    <t>Polinomio de interpolación</t>
  </si>
  <si>
    <t xml:space="preserve"> El polinomio de Interpolación calculado por  el método de los mínimos cuadrados, con ajuste cúbico,</t>
  </si>
  <si>
    <t>será de la forma:</t>
  </si>
  <si>
    <r>
      <t>Xa=A+B*F+C*F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+D*F</t>
    </r>
    <r>
      <rPr>
        <vertAlign val="superscript"/>
        <sz val="10"/>
        <rFont val="Arial"/>
        <family val="2"/>
      </rPr>
      <t>3</t>
    </r>
  </si>
  <si>
    <t>donde:</t>
  </si>
  <si>
    <t>F: Valor de la fuerza aplicada en KN</t>
  </si>
  <si>
    <t>Xa=Valor de la deformación en mV/V</t>
  </si>
  <si>
    <t>A=</t>
  </si>
  <si>
    <t>B=</t>
  </si>
  <si>
    <t>C=</t>
  </si>
  <si>
    <t>D=</t>
  </si>
  <si>
    <t>Xa</t>
  </si>
  <si>
    <t>Contribución a la incertidumbre típica relativa (%)</t>
  </si>
  <si>
    <t xml:space="preserve"> Contribución a la Incertidumbre típica relativa (%)</t>
  </si>
  <si>
    <t>r=</t>
  </si>
  <si>
    <t>r=0,00001mV/V*Fmax/Xrmax</t>
  </si>
  <si>
    <t>X1-0º</t>
  </si>
  <si>
    <t>X2-0º</t>
  </si>
  <si>
    <t>X3-120º</t>
  </si>
  <si>
    <t>X4-120º</t>
  </si>
  <si>
    <t>X5-240º</t>
  </si>
  <si>
    <t>X6-240º</t>
  </si>
  <si>
    <t>Valor del cero:</t>
  </si>
  <si>
    <t>X= deformaciones en mV/V</t>
  </si>
  <si>
    <t>Nota las indicaciones recogidas en la hoja LECTURAS permiten calcular las deformaciones como la diferencia entre la lectura bajo fuerza y la lectura sin fuerza inicial para cada una de las series</t>
  </si>
  <si>
    <t>Incertidumbre  relativa expandida (%)</t>
  </si>
  <si>
    <t>KN</t>
  </si>
  <si>
    <t>Polinomio Inverso</t>
  </si>
  <si>
    <r>
      <t>Fa=A+B*X+C*X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+D*X</t>
    </r>
    <r>
      <rPr>
        <vertAlign val="superscript"/>
        <sz val="10"/>
        <rFont val="Arial"/>
        <family val="2"/>
      </rPr>
      <t>3</t>
    </r>
  </si>
  <si>
    <t>M=</t>
  </si>
  <si>
    <t>N=</t>
  </si>
  <si>
    <t>P=</t>
  </si>
  <si>
    <t>Q=</t>
  </si>
  <si>
    <t>Valor ajustado de deformación</t>
  </si>
  <si>
    <t>Valor ajustado de Fuerza</t>
  </si>
  <si>
    <t>F(KN)</t>
  </si>
  <si>
    <t>Valor estimado</t>
  </si>
  <si>
    <t>Estimación deriva</t>
  </si>
  <si>
    <t>Introduzca los nuevos valores</t>
  </si>
  <si>
    <t>incluidos en el certificado de calibración</t>
  </si>
  <si>
    <r>
      <t>w</t>
    </r>
    <r>
      <rPr>
        <b/>
        <vertAlign val="subscript"/>
        <sz val="10"/>
        <rFont val="Arial"/>
        <family val="2"/>
      </rPr>
      <t>creep</t>
    </r>
    <r>
      <rPr>
        <b/>
        <sz val="10"/>
        <rFont val="Arial"/>
        <family val="2"/>
      </rPr>
      <t xml:space="preserve"> (%)</t>
    </r>
  </si>
  <si>
    <r>
      <t>a</t>
    </r>
    <r>
      <rPr>
        <b/>
        <vertAlign val="subscript"/>
        <sz val="10"/>
        <rFont val="Arial"/>
        <family val="2"/>
      </rPr>
      <t>der</t>
    </r>
    <r>
      <rPr>
        <b/>
        <sz val="10"/>
        <rFont val="Arial"/>
        <family val="2"/>
      </rPr>
      <t>(%)</t>
    </r>
  </si>
  <si>
    <t>Nota:</t>
  </si>
  <si>
    <t>Si fruto de la clasificación del instrumento la incertidumbre indicada</t>
  </si>
  <si>
    <t>es distinta de la proporcionada por la de la fila J</t>
  </si>
  <si>
    <t xml:space="preserve">tomar como incertidumbre de los valores de referencia </t>
  </si>
  <si>
    <t>la de la fila L</t>
  </si>
  <si>
    <r>
      <t>w</t>
    </r>
    <r>
      <rPr>
        <b/>
        <vertAlign val="subscript"/>
        <sz val="10"/>
        <rFont val="Arial"/>
        <family val="2"/>
      </rPr>
      <t>refv</t>
    </r>
    <r>
      <rPr>
        <b/>
        <sz val="10"/>
        <rFont val="Arial"/>
        <family val="2"/>
      </rPr>
      <t xml:space="preserve"> (%)</t>
    </r>
  </si>
  <si>
    <r>
      <t xml:space="preserve">a </t>
    </r>
    <r>
      <rPr>
        <vertAlign val="subscript"/>
        <sz val="12"/>
        <rFont val="Times New Roman"/>
        <family val="1"/>
      </rPr>
      <t xml:space="preserve">der  </t>
    </r>
    <r>
      <rPr>
        <sz val="12"/>
        <rFont val="Times New Roman"/>
        <family val="1"/>
      </rPr>
      <t xml:space="preserve"> (%)= </t>
    </r>
  </si>
  <si>
    <t>*100</t>
  </si>
  <si>
    <r>
      <t>w</t>
    </r>
    <r>
      <rPr>
        <b/>
        <vertAlign val="subscript"/>
        <sz val="10"/>
        <rFont val="Arial"/>
        <family val="2"/>
      </rPr>
      <t>com</t>
    </r>
    <r>
      <rPr>
        <b/>
        <sz val="10"/>
        <rFont val="Arial"/>
        <family val="2"/>
      </rPr>
      <t xml:space="preserve"> (%)</t>
    </r>
  </si>
  <si>
    <r>
      <t>W</t>
    </r>
    <r>
      <rPr>
        <b/>
        <vertAlign val="subscript"/>
        <sz val="10"/>
        <rFont val="Arial"/>
        <family val="2"/>
      </rPr>
      <t>com</t>
    </r>
    <r>
      <rPr>
        <b/>
        <sz val="10"/>
        <rFont val="Arial"/>
        <family val="2"/>
      </rPr>
      <t xml:space="preserve"> (k=2)%</t>
    </r>
  </si>
  <si>
    <r>
      <t>w</t>
    </r>
    <r>
      <rPr>
        <b/>
        <vertAlign val="subscript"/>
        <sz val="10"/>
        <rFont val="Arial"/>
        <family val="2"/>
      </rPr>
      <t>ra</t>
    </r>
    <r>
      <rPr>
        <b/>
        <sz val="10"/>
        <rFont val="Arial"/>
        <family val="2"/>
      </rPr>
      <t xml:space="preserve"> (%)</t>
    </r>
  </si>
  <si>
    <t>mV/V</t>
  </si>
  <si>
    <t>Si se necesitan las incertidumbres en otra unidad al trabajar con este patrón</t>
  </si>
  <si>
    <t>deben tomarse las siguientes equivalencias:</t>
  </si>
  <si>
    <t>Kgf</t>
  </si>
  <si>
    <r>
      <t>u</t>
    </r>
    <r>
      <rPr>
        <b/>
        <vertAlign val="subscript"/>
        <sz val="10"/>
        <rFont val="Arial"/>
        <family val="2"/>
      </rPr>
      <t xml:space="preserve">com </t>
    </r>
    <r>
      <rPr>
        <b/>
        <sz val="10"/>
        <rFont val="Arial"/>
        <family val="2"/>
      </rPr>
      <t>(Kgf)</t>
    </r>
  </si>
  <si>
    <r>
      <t>u</t>
    </r>
    <r>
      <rPr>
        <b/>
        <vertAlign val="subscript"/>
        <sz val="10"/>
        <rFont val="Arial"/>
        <family val="2"/>
      </rPr>
      <t xml:space="preserve">com </t>
    </r>
    <r>
      <rPr>
        <b/>
        <sz val="10"/>
        <rFont val="Arial"/>
        <family val="2"/>
      </rPr>
      <t>(KN)</t>
    </r>
  </si>
  <si>
    <r>
      <t>X</t>
    </r>
    <r>
      <rPr>
        <b/>
        <vertAlign val="subscript"/>
        <sz val="10"/>
        <rFont val="Arial"/>
        <family val="2"/>
      </rPr>
      <t xml:space="preserve">r recta </t>
    </r>
  </si>
  <si>
    <t>Error de linealidad</t>
  </si>
  <si>
    <t>Expresado en % de la salida a carga nominal</t>
  </si>
  <si>
    <t>Expresado en % sobre el valor de deformación</t>
  </si>
  <si>
    <t>Contribución a la incertidumbre típica relativa %</t>
  </si>
  <si>
    <t>ecuación de la recta que pasa por los puntos</t>
  </si>
  <si>
    <t>la señal patrón:</t>
  </si>
  <si>
    <r>
      <t>w</t>
    </r>
    <r>
      <rPr>
        <b/>
        <vertAlign val="subscript"/>
        <sz val="10"/>
        <rFont val="Arial"/>
        <family val="2"/>
      </rPr>
      <t>ut</t>
    </r>
    <r>
      <rPr>
        <b/>
        <sz val="10"/>
        <rFont val="Arial"/>
        <family val="2"/>
      </rPr>
      <t xml:space="preserve"> (%)</t>
    </r>
  </si>
  <si>
    <r>
      <t>w</t>
    </r>
    <r>
      <rPr>
        <b/>
        <vertAlign val="subscript"/>
        <sz val="10"/>
        <rFont val="Arial"/>
        <family val="2"/>
      </rPr>
      <t>lin</t>
    </r>
    <r>
      <rPr>
        <b/>
        <sz val="10"/>
        <rFont val="Arial"/>
        <family val="2"/>
      </rPr>
      <t xml:space="preserve"> (%)</t>
    </r>
  </si>
  <si>
    <t>N</t>
  </si>
  <si>
    <t>Tn</t>
  </si>
  <si>
    <t>g=</t>
  </si>
  <si>
    <r>
      <t>u</t>
    </r>
    <r>
      <rPr>
        <b/>
        <vertAlign val="subscript"/>
        <sz val="10"/>
        <rFont val="Arial"/>
        <family val="2"/>
      </rPr>
      <t xml:space="preserve">com </t>
    </r>
    <r>
      <rPr>
        <b/>
        <sz val="10"/>
        <rFont val="Arial"/>
        <family val="2"/>
      </rPr>
      <t>(N)</t>
    </r>
  </si>
  <si>
    <r>
      <t>u</t>
    </r>
    <r>
      <rPr>
        <b/>
        <vertAlign val="subscript"/>
        <sz val="10"/>
        <rFont val="Arial"/>
        <family val="2"/>
      </rPr>
      <t xml:space="preserve">com </t>
    </r>
    <r>
      <rPr>
        <b/>
        <sz val="10"/>
        <rFont val="Arial"/>
        <family val="2"/>
      </rPr>
      <t>(Tn)</t>
    </r>
  </si>
  <si>
    <r>
      <t>w</t>
    </r>
    <r>
      <rPr>
        <b/>
        <vertAlign val="subscript"/>
        <sz val="10"/>
        <rFont val="Arial"/>
        <family val="2"/>
      </rPr>
      <t>config</t>
    </r>
    <r>
      <rPr>
        <b/>
        <sz val="10"/>
        <rFont val="Arial"/>
        <family val="2"/>
      </rPr>
      <t>(%)</t>
    </r>
  </si>
  <si>
    <t>u (%)</t>
  </si>
  <si>
    <r>
      <t>w</t>
    </r>
    <r>
      <rPr>
        <i/>
        <vertAlign val="subscript"/>
        <sz val="10"/>
        <rFont val="Arial"/>
        <family val="2"/>
      </rPr>
      <t xml:space="preserve">ut </t>
    </r>
    <r>
      <rPr>
        <i/>
        <sz val="10"/>
        <rFont val="Arial"/>
        <family val="2"/>
      </rPr>
      <t>(%)</t>
    </r>
  </si>
  <si>
    <r>
      <t>w</t>
    </r>
    <r>
      <rPr>
        <b/>
        <vertAlign val="subscript"/>
        <sz val="10"/>
        <rFont val="Arial"/>
        <family val="2"/>
      </rPr>
      <t xml:space="preserve">der </t>
    </r>
    <r>
      <rPr>
        <b/>
        <sz val="10"/>
        <rFont val="Arial"/>
        <family val="2"/>
      </rPr>
      <t>(%)</t>
    </r>
  </si>
  <si>
    <r>
      <t>a</t>
    </r>
    <r>
      <rPr>
        <b/>
        <vertAlign val="subscript"/>
        <sz val="12"/>
        <rFont val="Times New Roman"/>
        <family val="1"/>
      </rPr>
      <t xml:space="preserve">temp   </t>
    </r>
    <r>
      <rPr>
        <b/>
        <sz val="12"/>
        <rFont val="Times New Roman"/>
        <family val="1"/>
      </rPr>
      <t>(%)</t>
    </r>
  </si>
  <si>
    <r>
      <t>w</t>
    </r>
    <r>
      <rPr>
        <b/>
        <vertAlign val="subscript"/>
        <sz val="10"/>
        <rFont val="Arial"/>
        <family val="2"/>
      </rPr>
      <t xml:space="preserve">temp     </t>
    </r>
    <r>
      <rPr>
        <b/>
        <sz val="10"/>
        <rFont val="Arial"/>
        <family val="2"/>
      </rPr>
      <t>(%)</t>
    </r>
  </si>
  <si>
    <t>Indique Fuerza (KN)</t>
  </si>
  <si>
    <t>Indique Deformacion (mV/V)</t>
  </si>
  <si>
    <t xml:space="preserve">*Indique la unidad con la que se ha trabajado </t>
  </si>
  <si>
    <t xml:space="preserve">*Indique el rango de aproximación: </t>
  </si>
  <si>
    <t>U  certificado</t>
  </si>
  <si>
    <t>Indicación a fuerza nula:</t>
  </si>
  <si>
    <r>
      <t>w</t>
    </r>
    <r>
      <rPr>
        <b/>
        <vertAlign val="subscript"/>
        <sz val="11"/>
        <rFont val="Arial"/>
        <family val="2"/>
      </rPr>
      <t>mcf</t>
    </r>
  </si>
  <si>
    <r>
      <t>w</t>
    </r>
    <r>
      <rPr>
        <b/>
        <vertAlign val="subscript"/>
        <sz val="11"/>
        <rFont val="Arial"/>
        <family val="2"/>
      </rPr>
      <t>b´</t>
    </r>
  </si>
  <si>
    <r>
      <t>w</t>
    </r>
    <r>
      <rPr>
        <b/>
        <vertAlign val="subscript"/>
        <sz val="11"/>
        <rFont val="Arial"/>
        <family val="2"/>
      </rPr>
      <t>b</t>
    </r>
  </si>
  <si>
    <r>
      <t>w</t>
    </r>
    <r>
      <rPr>
        <b/>
        <vertAlign val="subscript"/>
        <sz val="11"/>
        <rFont val="Arial"/>
        <family val="2"/>
      </rPr>
      <t>f0</t>
    </r>
  </si>
  <si>
    <r>
      <t>w</t>
    </r>
    <r>
      <rPr>
        <b/>
        <vertAlign val="subscript"/>
        <sz val="11"/>
        <rFont val="Arial"/>
        <family val="2"/>
      </rPr>
      <t>v</t>
    </r>
  </si>
  <si>
    <r>
      <t>w</t>
    </r>
    <r>
      <rPr>
        <b/>
        <vertAlign val="subscript"/>
        <sz val="11"/>
        <rFont val="Arial"/>
        <family val="2"/>
      </rPr>
      <t>fc</t>
    </r>
  </si>
  <si>
    <r>
      <t>w</t>
    </r>
    <r>
      <rPr>
        <b/>
        <vertAlign val="subscript"/>
        <sz val="11"/>
        <rFont val="Arial"/>
        <family val="2"/>
      </rPr>
      <t>r</t>
    </r>
  </si>
  <si>
    <t>FUERZA</t>
  </si>
  <si>
    <t>Polinomio inverso</t>
  </si>
  <si>
    <r>
      <t>Xa=A+B*F+C*F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+D*F</t>
    </r>
    <r>
      <rPr>
        <b/>
        <vertAlign val="superscript"/>
        <sz val="10"/>
        <rFont val="Arial"/>
        <family val="2"/>
      </rPr>
      <t>3</t>
    </r>
  </si>
  <si>
    <r>
      <t>Fa=M+N*X+P*X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+Q*X</t>
    </r>
    <r>
      <rPr>
        <b/>
        <vertAlign val="superscript"/>
        <sz val="10"/>
        <rFont val="Arial"/>
        <family val="2"/>
      </rPr>
      <t>3</t>
    </r>
  </si>
  <si>
    <t>aceleración local de la gravedad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</si>
</sst>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0.00000"/>
    <numFmt numFmtId="175" formatCode="0.E+00"/>
    <numFmt numFmtId="176" formatCode="0.0000000E+00"/>
    <numFmt numFmtId="177" formatCode="0.000000E+00"/>
    <numFmt numFmtId="178" formatCode="0.00000000E+00"/>
    <numFmt numFmtId="179" formatCode="0.0000000000"/>
    <numFmt numFmtId="180" formatCode="0.000"/>
    <numFmt numFmtId="181" formatCode="0.00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0.0000000"/>
    <numFmt numFmtId="186" formatCode="0.000000"/>
    <numFmt numFmtId="187" formatCode="0.00000000"/>
    <numFmt numFmtId="188" formatCode="0.0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bscript"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2"/>
      <color indexed="10"/>
      <name val="Times New Roman"/>
      <family val="1"/>
    </font>
    <font>
      <i/>
      <vertAlign val="subscript"/>
      <sz val="10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9"/>
      <color indexed="47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vertAlign val="superscript"/>
      <sz val="10"/>
      <name val="Arial"/>
      <family val="2"/>
    </font>
    <font>
      <sz val="10"/>
      <color indexed="4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3" fillId="2" borderId="7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0" fillId="2" borderId="11" xfId="0" applyNumberFormat="1" applyFill="1" applyBorder="1" applyAlignment="1">
      <alignment horizontal="center"/>
    </xf>
    <xf numFmtId="0" fontId="3" fillId="2" borderId="12" xfId="0" applyNumberFormat="1" applyFont="1" applyFill="1" applyBorder="1" applyAlignment="1">
      <alignment horizontal="center"/>
    </xf>
    <xf numFmtId="0" fontId="3" fillId="2" borderId="13" xfId="0" applyNumberFormat="1" applyFont="1" applyFill="1" applyBorder="1" applyAlignment="1">
      <alignment horizontal="center"/>
    </xf>
    <xf numFmtId="0" fontId="0" fillId="2" borderId="14" xfId="0" applyNumberForma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16" xfId="0" applyNumberFormat="1" applyFont="1" applyBorder="1" applyAlignment="1">
      <alignment/>
    </xf>
    <xf numFmtId="178" fontId="0" fillId="0" borderId="17" xfId="0" applyNumberFormat="1" applyBorder="1" applyAlignment="1">
      <alignment/>
    </xf>
    <xf numFmtId="0" fontId="9" fillId="3" borderId="18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181" fontId="0" fillId="4" borderId="0" xfId="0" applyNumberFormat="1" applyFill="1" applyBorder="1" applyAlignment="1">
      <alignment/>
    </xf>
    <xf numFmtId="0" fontId="4" fillId="5" borderId="0" xfId="0" applyFont="1" applyFill="1" applyAlignment="1">
      <alignment/>
    </xf>
    <xf numFmtId="1" fontId="0" fillId="4" borderId="6" xfId="0" applyNumberFormat="1" applyFill="1" applyBorder="1" applyAlignment="1">
      <alignment horizontal="center"/>
    </xf>
    <xf numFmtId="0" fontId="0" fillId="5" borderId="0" xfId="0" applyFill="1" applyAlignment="1">
      <alignment/>
    </xf>
    <xf numFmtId="0" fontId="0" fillId="5" borderId="0" xfId="0" applyNumberFormat="1" applyFill="1" applyBorder="1" applyAlignment="1">
      <alignment/>
    </xf>
    <xf numFmtId="0" fontId="4" fillId="5" borderId="0" xfId="0" applyNumberFormat="1" applyFont="1" applyFill="1" applyBorder="1" applyAlignment="1">
      <alignment/>
    </xf>
    <xf numFmtId="0" fontId="3" fillId="5" borderId="0" xfId="0" applyNumberFormat="1" applyFont="1" applyFill="1" applyBorder="1" applyAlignment="1">
      <alignment/>
    </xf>
    <xf numFmtId="0" fontId="0" fillId="5" borderId="0" xfId="0" applyFill="1" applyAlignment="1">
      <alignment/>
    </xf>
    <xf numFmtId="0" fontId="3" fillId="5" borderId="0" xfId="0" applyFont="1" applyFill="1" applyBorder="1" applyAlignment="1">
      <alignment horizontal="right"/>
    </xf>
    <xf numFmtId="0" fontId="3" fillId="5" borderId="0" xfId="0" applyFont="1" applyFill="1" applyAlignment="1">
      <alignment/>
    </xf>
    <xf numFmtId="0" fontId="3" fillId="2" borderId="19" xfId="0" applyNumberFormat="1" applyFont="1" applyFill="1" applyBorder="1" applyAlignment="1">
      <alignment horizontal="center"/>
    </xf>
    <xf numFmtId="0" fontId="0" fillId="2" borderId="20" xfId="0" applyNumberFormat="1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6" xfId="0" applyFill="1" applyBorder="1" applyAlignment="1">
      <alignment/>
    </xf>
    <xf numFmtId="181" fontId="0" fillId="5" borderId="0" xfId="0" applyNumberFormat="1" applyFill="1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5" borderId="0" xfId="0" applyFill="1" applyBorder="1" applyAlignment="1">
      <alignment/>
    </xf>
    <xf numFmtId="1" fontId="0" fillId="5" borderId="0" xfId="0" applyNumberFormat="1" applyFill="1" applyBorder="1" applyAlignment="1">
      <alignment/>
    </xf>
    <xf numFmtId="0" fontId="3" fillId="2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0" fillId="5" borderId="25" xfId="0" applyFill="1" applyBorder="1" applyAlignment="1">
      <alignment/>
    </xf>
    <xf numFmtId="0" fontId="0" fillId="5" borderId="26" xfId="0" applyFill="1" applyBorder="1" applyAlignment="1">
      <alignment/>
    </xf>
    <xf numFmtId="0" fontId="0" fillId="5" borderId="27" xfId="0" applyFill="1" applyBorder="1" applyAlignment="1">
      <alignment/>
    </xf>
    <xf numFmtId="0" fontId="13" fillId="5" borderId="28" xfId="0" applyFont="1" applyFill="1" applyBorder="1" applyAlignment="1">
      <alignment horizontal="right"/>
    </xf>
    <xf numFmtId="0" fontId="13" fillId="5" borderId="29" xfId="0" applyFont="1" applyFill="1" applyBorder="1" applyAlignment="1">
      <alignment horizontal="justify"/>
    </xf>
    <xf numFmtId="0" fontId="0" fillId="5" borderId="30" xfId="0" applyFill="1" applyBorder="1" applyAlignment="1">
      <alignment/>
    </xf>
    <xf numFmtId="0" fontId="0" fillId="5" borderId="31" xfId="0" applyFill="1" applyBorder="1" applyAlignment="1">
      <alignment/>
    </xf>
    <xf numFmtId="0" fontId="0" fillId="5" borderId="32" xfId="0" applyFill="1" applyBorder="1" applyAlignment="1">
      <alignment/>
    </xf>
    <xf numFmtId="186" fontId="0" fillId="2" borderId="6" xfId="0" applyNumberForma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2" xfId="0" applyBorder="1" applyAlignment="1">
      <alignment/>
    </xf>
    <xf numFmtId="0" fontId="0" fillId="0" borderId="34" xfId="0" applyBorder="1" applyAlignment="1">
      <alignment/>
    </xf>
    <xf numFmtId="0" fontId="0" fillId="0" borderId="3" xfId="0" applyBorder="1" applyAlignment="1">
      <alignment/>
    </xf>
    <xf numFmtId="0" fontId="0" fillId="0" borderId="21" xfId="0" applyBorder="1" applyAlignment="1">
      <alignment/>
    </xf>
    <xf numFmtId="0" fontId="0" fillId="0" borderId="35" xfId="0" applyBorder="1" applyAlignment="1">
      <alignment/>
    </xf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0" fillId="5" borderId="6" xfId="0" applyFill="1" applyBorder="1" applyAlignment="1">
      <alignment/>
    </xf>
    <xf numFmtId="0" fontId="0" fillId="5" borderId="6" xfId="0" applyFill="1" applyBorder="1" applyAlignment="1">
      <alignment horizontal="left"/>
    </xf>
    <xf numFmtId="1" fontId="0" fillId="5" borderId="6" xfId="0" applyNumberFormat="1" applyFill="1" applyBorder="1" applyAlignment="1">
      <alignment/>
    </xf>
    <xf numFmtId="174" fontId="0" fillId="4" borderId="6" xfId="0" applyNumberFormat="1" applyFill="1" applyBorder="1" applyAlignment="1">
      <alignment horizontal="center"/>
    </xf>
    <xf numFmtId="0" fontId="0" fillId="5" borderId="0" xfId="0" applyFill="1" applyBorder="1" applyAlignment="1">
      <alignment horizontal="left"/>
    </xf>
    <xf numFmtId="0" fontId="3" fillId="2" borderId="18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0" fillId="2" borderId="38" xfId="0" applyFill="1" applyBorder="1" applyAlignment="1">
      <alignment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0" fillId="2" borderId="42" xfId="0" applyFill="1" applyBorder="1" applyAlignment="1">
      <alignment/>
    </xf>
    <xf numFmtId="0" fontId="18" fillId="5" borderId="0" xfId="0" applyFont="1" applyFill="1" applyBorder="1" applyAlignment="1">
      <alignment/>
    </xf>
    <xf numFmtId="0" fontId="19" fillId="5" borderId="0" xfId="0" applyFont="1" applyFill="1" applyAlignment="1">
      <alignment/>
    </xf>
    <xf numFmtId="0" fontId="0" fillId="5" borderId="0" xfId="0" applyFill="1" applyAlignment="1">
      <alignment horizontal="left"/>
    </xf>
    <xf numFmtId="0" fontId="3" fillId="5" borderId="0" xfId="0" applyFont="1" applyFill="1" applyAlignment="1">
      <alignment horizontal="right"/>
    </xf>
    <xf numFmtId="0" fontId="3" fillId="2" borderId="6" xfId="0" applyFont="1" applyFill="1" applyBorder="1" applyAlignment="1">
      <alignment horizontal="center" wrapText="1"/>
    </xf>
    <xf numFmtId="174" fontId="0" fillId="5" borderId="0" xfId="0" applyNumberFormat="1" applyFill="1" applyAlignment="1">
      <alignment/>
    </xf>
    <xf numFmtId="0" fontId="20" fillId="5" borderId="0" xfId="0" applyFont="1" applyFill="1" applyAlignment="1">
      <alignment/>
    </xf>
    <xf numFmtId="0" fontId="10" fillId="0" borderId="6" xfId="0" applyFont="1" applyBorder="1" applyAlignment="1">
      <alignment horizontal="center" vertical="center" wrapText="1"/>
    </xf>
    <xf numFmtId="0" fontId="0" fillId="5" borderId="0" xfId="0" applyFill="1" applyBorder="1" applyAlignment="1">
      <alignment horizontal="left" wrapText="1"/>
    </xf>
    <xf numFmtId="178" fontId="0" fillId="5" borderId="0" xfId="0" applyNumberForma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1" fontId="0" fillId="0" borderId="6" xfId="0" applyNumberFormat="1" applyFont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0" fontId="0" fillId="5" borderId="0" xfId="0" applyFill="1" applyAlignment="1">
      <alignment horizontal="right"/>
    </xf>
    <xf numFmtId="0" fontId="0" fillId="2" borderId="45" xfId="0" applyFill="1" applyBorder="1" applyAlignment="1">
      <alignment/>
    </xf>
    <xf numFmtId="177" fontId="0" fillId="0" borderId="6" xfId="0" applyNumberFormat="1" applyFill="1" applyBorder="1" applyAlignment="1">
      <alignment/>
    </xf>
    <xf numFmtId="0" fontId="0" fillId="2" borderId="24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20" fillId="5" borderId="0" xfId="0" applyFont="1" applyFill="1" applyBorder="1" applyAlignment="1">
      <alignment/>
    </xf>
    <xf numFmtId="174" fontId="0" fillId="6" borderId="25" xfId="0" applyNumberFormat="1" applyFill="1" applyBorder="1" applyAlignment="1">
      <alignment horizontal="center"/>
    </xf>
    <xf numFmtId="174" fontId="0" fillId="6" borderId="28" xfId="0" applyNumberFormat="1" applyFill="1" applyBorder="1" applyAlignment="1">
      <alignment horizontal="center"/>
    </xf>
    <xf numFmtId="174" fontId="0" fillId="6" borderId="30" xfId="0" applyNumberFormat="1" applyFill="1" applyBorder="1" applyAlignment="1">
      <alignment horizontal="center"/>
    </xf>
    <xf numFmtId="0" fontId="3" fillId="6" borderId="6" xfId="0" applyFont="1" applyFill="1" applyBorder="1" applyAlignment="1">
      <alignment horizontal="center" vertical="center"/>
    </xf>
    <xf numFmtId="186" fontId="0" fillId="6" borderId="22" xfId="0" applyNumberFormat="1" applyFill="1" applyBorder="1" applyAlignment="1">
      <alignment horizontal="center"/>
    </xf>
    <xf numFmtId="186" fontId="0" fillId="6" borderId="14" xfId="0" applyNumberFormat="1" applyFill="1" applyBorder="1" applyAlignment="1">
      <alignment horizontal="center"/>
    </xf>
    <xf numFmtId="186" fontId="0" fillId="6" borderId="23" xfId="0" applyNumberFormat="1" applyFill="1" applyBorder="1" applyAlignment="1">
      <alignment horizontal="center"/>
    </xf>
    <xf numFmtId="0" fontId="0" fillId="4" borderId="22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23" xfId="0" applyFill="1" applyBorder="1" applyAlignment="1">
      <alignment/>
    </xf>
    <xf numFmtId="181" fontId="0" fillId="4" borderId="22" xfId="0" applyNumberFormat="1" applyFill="1" applyBorder="1" applyAlignment="1">
      <alignment horizontal="center"/>
    </xf>
    <xf numFmtId="181" fontId="0" fillId="4" borderId="14" xfId="0" applyNumberFormat="1" applyFill="1" applyBorder="1" applyAlignment="1">
      <alignment horizontal="center"/>
    </xf>
    <xf numFmtId="181" fontId="0" fillId="4" borderId="23" xfId="0" applyNumberFormat="1" applyFill="1" applyBorder="1" applyAlignment="1">
      <alignment horizontal="center"/>
    </xf>
    <xf numFmtId="0" fontId="3" fillId="4" borderId="6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/>
    </xf>
    <xf numFmtId="0" fontId="0" fillId="7" borderId="6" xfId="0" applyFill="1" applyBorder="1" applyAlignment="1">
      <alignment/>
    </xf>
    <xf numFmtId="0" fontId="3" fillId="8" borderId="24" xfId="0" applyFont="1" applyFill="1" applyBorder="1" applyAlignment="1">
      <alignment horizontal="center" vertical="center"/>
    </xf>
    <xf numFmtId="186" fontId="0" fillId="8" borderId="6" xfId="0" applyNumberFormat="1" applyFill="1" applyBorder="1" applyAlignment="1">
      <alignment horizontal="center"/>
    </xf>
    <xf numFmtId="1" fontId="0" fillId="5" borderId="6" xfId="0" applyNumberFormat="1" applyFill="1" applyBorder="1" applyAlignment="1">
      <alignment horizontal="center"/>
    </xf>
    <xf numFmtId="0" fontId="3" fillId="5" borderId="2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174" fontId="0" fillId="5" borderId="6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9" borderId="0" xfId="0" applyFill="1" applyAlignment="1">
      <alignment/>
    </xf>
    <xf numFmtId="181" fontId="0" fillId="9" borderId="0" xfId="0" applyNumberFormat="1" applyFill="1" applyBorder="1" applyAlignment="1">
      <alignment/>
    </xf>
    <xf numFmtId="0" fontId="0" fillId="2" borderId="46" xfId="0" applyFill="1" applyBorder="1" applyAlignment="1">
      <alignment horizontal="center"/>
    </xf>
    <xf numFmtId="0" fontId="3" fillId="4" borderId="47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6" xfId="0" applyFill="1" applyBorder="1" applyAlignment="1">
      <alignment horizontal="center"/>
    </xf>
    <xf numFmtId="180" fontId="0" fillId="4" borderId="6" xfId="0" applyNumberFormat="1" applyFill="1" applyBorder="1" applyAlignment="1">
      <alignment horizontal="center"/>
    </xf>
    <xf numFmtId="181" fontId="0" fillId="4" borderId="6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9" borderId="0" xfId="0" applyFill="1" applyBorder="1" applyAlignment="1">
      <alignment/>
    </xf>
    <xf numFmtId="0" fontId="3" fillId="9" borderId="0" xfId="0" applyFont="1" applyFill="1" applyBorder="1" applyAlignment="1">
      <alignment horizontal="center"/>
    </xf>
    <xf numFmtId="0" fontId="0" fillId="9" borderId="0" xfId="0" applyFill="1" applyBorder="1" applyAlignment="1">
      <alignment horizontal="center" vertical="center" wrapText="1"/>
    </xf>
    <xf numFmtId="187" fontId="0" fillId="9" borderId="0" xfId="0" applyNumberFormat="1" applyFill="1" applyBorder="1" applyAlignment="1">
      <alignment/>
    </xf>
    <xf numFmtId="174" fontId="0" fillId="9" borderId="0" xfId="0" applyNumberFormat="1" applyFill="1" applyBorder="1" applyAlignment="1">
      <alignment horizontal="center"/>
    </xf>
    <xf numFmtId="1" fontId="0" fillId="9" borderId="0" xfId="0" applyNumberFormat="1" applyFill="1" applyBorder="1" applyAlignment="1">
      <alignment/>
    </xf>
    <xf numFmtId="0" fontId="0" fillId="0" borderId="33" xfId="0" applyNumberFormat="1" applyFill="1" applyBorder="1" applyAlignment="1">
      <alignment horizontal="center"/>
    </xf>
    <xf numFmtId="0" fontId="21" fillId="5" borderId="0" xfId="0" applyNumberFormat="1" applyFont="1" applyFill="1" applyBorder="1" applyAlignment="1">
      <alignment/>
    </xf>
    <xf numFmtId="0" fontId="22" fillId="2" borderId="6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1" fontId="3" fillId="5" borderId="0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1" fontId="3" fillId="5" borderId="0" xfId="0" applyNumberFormat="1" applyFont="1" applyFill="1" applyBorder="1" applyAlignment="1">
      <alignment/>
    </xf>
    <xf numFmtId="187" fontId="0" fillId="5" borderId="6" xfId="0" applyNumberFormat="1" applyFill="1" applyBorder="1" applyAlignment="1">
      <alignment horizontal="center"/>
    </xf>
    <xf numFmtId="0" fontId="0" fillId="5" borderId="6" xfId="0" applyFill="1" applyBorder="1" applyAlignment="1">
      <alignment horizontal="center" vertical="center" wrapText="1"/>
    </xf>
    <xf numFmtId="0" fontId="0" fillId="5" borderId="43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/>
    </xf>
    <xf numFmtId="0" fontId="0" fillId="5" borderId="0" xfId="0" applyNumberFormat="1" applyFont="1" applyFill="1" applyBorder="1" applyAlignment="1">
      <alignment wrapText="1"/>
    </xf>
    <xf numFmtId="0" fontId="0" fillId="5" borderId="0" xfId="0" applyFill="1" applyAlignment="1">
      <alignment wrapText="1"/>
    </xf>
    <xf numFmtId="0" fontId="3" fillId="2" borderId="48" xfId="0" applyNumberFormat="1" applyFont="1" applyFill="1" applyBorder="1" applyAlignment="1">
      <alignment horizontal="center"/>
    </xf>
    <xf numFmtId="0" fontId="0" fillId="2" borderId="49" xfId="0" applyFill="1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3" fillId="0" borderId="50" xfId="0" applyFont="1" applyBorder="1" applyAlignment="1">
      <alignment horizontal="center" wrapText="1"/>
    </xf>
    <xf numFmtId="0" fontId="3" fillId="2" borderId="48" xfId="0" applyFont="1" applyFill="1" applyBorder="1" applyAlignment="1">
      <alignment horizontal="center" wrapText="1"/>
    </xf>
    <xf numFmtId="0" fontId="0" fillId="2" borderId="51" xfId="0" applyFill="1" applyBorder="1" applyAlignment="1">
      <alignment horizontal="center" wrapText="1"/>
    </xf>
    <xf numFmtId="0" fontId="0" fillId="2" borderId="49" xfId="0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5" fillId="5" borderId="0" xfId="0" applyFont="1" applyFill="1" applyAlignment="1">
      <alignment/>
    </xf>
    <xf numFmtId="181" fontId="25" fillId="5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8</xdr:row>
      <xdr:rowOff>38100</xdr:rowOff>
    </xdr:from>
    <xdr:to>
      <xdr:col>1</xdr:col>
      <xdr:colOff>790575</xdr:colOff>
      <xdr:row>8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695450" y="1409700"/>
          <a:ext cx="76200" cy="952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657225</xdr:colOff>
      <xdr:row>8</xdr:row>
      <xdr:rowOff>28575</xdr:rowOff>
    </xdr:from>
    <xdr:to>
      <xdr:col>2</xdr:col>
      <xdr:colOff>733425</xdr:colOff>
      <xdr:row>8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2628900" y="1400175"/>
          <a:ext cx="76200" cy="952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771525</xdr:colOff>
      <xdr:row>8</xdr:row>
      <xdr:rowOff>38100</xdr:rowOff>
    </xdr:from>
    <xdr:to>
      <xdr:col>3</xdr:col>
      <xdr:colOff>847725</xdr:colOff>
      <xdr:row>8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3657600" y="1409700"/>
          <a:ext cx="76200" cy="952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685800</xdr:colOff>
      <xdr:row>8</xdr:row>
      <xdr:rowOff>38100</xdr:rowOff>
    </xdr:from>
    <xdr:to>
      <xdr:col>5</xdr:col>
      <xdr:colOff>762000</xdr:colOff>
      <xdr:row>8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5448300" y="1409700"/>
          <a:ext cx="76200" cy="952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695325</xdr:colOff>
      <xdr:row>8</xdr:row>
      <xdr:rowOff>38100</xdr:rowOff>
    </xdr:from>
    <xdr:to>
      <xdr:col>4</xdr:col>
      <xdr:colOff>790575</xdr:colOff>
      <xdr:row>8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4591050" y="1409700"/>
          <a:ext cx="95250" cy="1143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676275</xdr:colOff>
      <xdr:row>8</xdr:row>
      <xdr:rowOff>19050</xdr:rowOff>
    </xdr:from>
    <xdr:to>
      <xdr:col>6</xdr:col>
      <xdr:colOff>771525</xdr:colOff>
      <xdr:row>8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6276975" y="1390650"/>
          <a:ext cx="95250" cy="1333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22</xdr:row>
      <xdr:rowOff>123825</xdr:rowOff>
    </xdr:from>
    <xdr:to>
      <xdr:col>5</xdr:col>
      <xdr:colOff>28575</xdr:colOff>
      <xdr:row>23</xdr:row>
      <xdr:rowOff>133350</xdr:rowOff>
    </xdr:to>
    <xdr:sp>
      <xdr:nvSpPr>
        <xdr:cNvPr id="7" name="Line 13"/>
        <xdr:cNvSpPr>
          <a:spLocks/>
        </xdr:cNvSpPr>
      </xdr:nvSpPr>
      <xdr:spPr>
        <a:xfrm>
          <a:off x="4257675" y="3771900"/>
          <a:ext cx="5334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10</xdr:row>
      <xdr:rowOff>152400</xdr:rowOff>
    </xdr:from>
    <xdr:to>
      <xdr:col>7</xdr:col>
      <xdr:colOff>209550</xdr:colOff>
      <xdr:row>22</xdr:row>
      <xdr:rowOff>161925</xdr:rowOff>
    </xdr:to>
    <xdr:sp>
      <xdr:nvSpPr>
        <xdr:cNvPr id="8" name="AutoShape 15"/>
        <xdr:cNvSpPr>
          <a:spLocks/>
        </xdr:cNvSpPr>
      </xdr:nvSpPr>
      <xdr:spPr>
        <a:xfrm>
          <a:off x="6581775" y="1847850"/>
          <a:ext cx="76200" cy="1962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11</xdr:row>
      <xdr:rowOff>247650</xdr:rowOff>
    </xdr:from>
    <xdr:to>
      <xdr:col>1</xdr:col>
      <xdr:colOff>323850</xdr:colOff>
      <xdr:row>11</xdr:row>
      <xdr:rowOff>247650</xdr:rowOff>
    </xdr:to>
    <xdr:sp>
      <xdr:nvSpPr>
        <xdr:cNvPr id="1" name="Line 2"/>
        <xdr:cNvSpPr>
          <a:spLocks/>
        </xdr:cNvSpPr>
      </xdr:nvSpPr>
      <xdr:spPr>
        <a:xfrm>
          <a:off x="828675" y="22002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11</xdr:row>
      <xdr:rowOff>247650</xdr:rowOff>
    </xdr:from>
    <xdr:to>
      <xdr:col>3</xdr:col>
      <xdr:colOff>390525</xdr:colOff>
      <xdr:row>11</xdr:row>
      <xdr:rowOff>247650</xdr:rowOff>
    </xdr:to>
    <xdr:sp>
      <xdr:nvSpPr>
        <xdr:cNvPr id="2" name="Line 3"/>
        <xdr:cNvSpPr>
          <a:spLocks/>
        </xdr:cNvSpPr>
      </xdr:nvSpPr>
      <xdr:spPr>
        <a:xfrm>
          <a:off x="2009775" y="22002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25</xdr:row>
      <xdr:rowOff>152400</xdr:rowOff>
    </xdr:from>
    <xdr:to>
      <xdr:col>5</xdr:col>
      <xdr:colOff>228600</xdr:colOff>
      <xdr:row>29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3743325" y="4657725"/>
          <a:ext cx="76200" cy="685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32</xdr:row>
      <xdr:rowOff>152400</xdr:rowOff>
    </xdr:from>
    <xdr:to>
      <xdr:col>5</xdr:col>
      <xdr:colOff>200025</xdr:colOff>
      <xdr:row>36</xdr:row>
      <xdr:rowOff>152400</xdr:rowOff>
    </xdr:to>
    <xdr:sp>
      <xdr:nvSpPr>
        <xdr:cNvPr id="4" name="AutoShape 5"/>
        <xdr:cNvSpPr>
          <a:spLocks/>
        </xdr:cNvSpPr>
      </xdr:nvSpPr>
      <xdr:spPr>
        <a:xfrm>
          <a:off x="3714750" y="5848350"/>
          <a:ext cx="76200" cy="685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11</xdr:row>
      <xdr:rowOff>114300</xdr:rowOff>
    </xdr:from>
    <xdr:to>
      <xdr:col>9</xdr:col>
      <xdr:colOff>285750</xdr:colOff>
      <xdr:row>11</xdr:row>
      <xdr:rowOff>114300</xdr:rowOff>
    </xdr:to>
    <xdr:sp>
      <xdr:nvSpPr>
        <xdr:cNvPr id="5" name="Line 6"/>
        <xdr:cNvSpPr>
          <a:spLocks/>
        </xdr:cNvSpPr>
      </xdr:nvSpPr>
      <xdr:spPr>
        <a:xfrm>
          <a:off x="6419850" y="20669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24</xdr:row>
      <xdr:rowOff>19050</xdr:rowOff>
    </xdr:from>
    <xdr:to>
      <xdr:col>3</xdr:col>
      <xdr:colOff>304800</xdr:colOff>
      <xdr:row>24</xdr:row>
      <xdr:rowOff>19050</xdr:rowOff>
    </xdr:to>
    <xdr:sp>
      <xdr:nvSpPr>
        <xdr:cNvPr id="1" name="Line 3"/>
        <xdr:cNvSpPr>
          <a:spLocks/>
        </xdr:cNvSpPr>
      </xdr:nvSpPr>
      <xdr:spPr>
        <a:xfrm>
          <a:off x="2124075" y="4029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523875</xdr:colOff>
      <xdr:row>20</xdr:row>
      <xdr:rowOff>38100</xdr:rowOff>
    </xdr:from>
    <xdr:to>
      <xdr:col>17</xdr:col>
      <xdr:colOff>495300</xdr:colOff>
      <xdr:row>26</xdr:row>
      <xdr:rowOff>0</xdr:rowOff>
    </xdr:to>
    <xdr:sp>
      <xdr:nvSpPr>
        <xdr:cNvPr id="2" name="Line 6"/>
        <xdr:cNvSpPr>
          <a:spLocks/>
        </xdr:cNvSpPr>
      </xdr:nvSpPr>
      <xdr:spPr>
        <a:xfrm>
          <a:off x="12677775" y="3324225"/>
          <a:ext cx="73342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381000</xdr:colOff>
      <xdr:row>20</xdr:row>
      <xdr:rowOff>0</xdr:rowOff>
    </xdr:from>
    <xdr:to>
      <xdr:col>17</xdr:col>
      <xdr:colOff>381000</xdr:colOff>
      <xdr:row>20</xdr:row>
      <xdr:rowOff>152400</xdr:rowOff>
    </xdr:to>
    <xdr:sp>
      <xdr:nvSpPr>
        <xdr:cNvPr id="3" name="Line 9"/>
        <xdr:cNvSpPr>
          <a:spLocks/>
        </xdr:cNvSpPr>
      </xdr:nvSpPr>
      <xdr:spPr>
        <a:xfrm>
          <a:off x="13296900" y="32861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514350</xdr:colOff>
      <xdr:row>20</xdr:row>
      <xdr:rowOff>0</xdr:rowOff>
    </xdr:from>
    <xdr:to>
      <xdr:col>19</xdr:col>
      <xdr:colOff>190500</xdr:colOff>
      <xdr:row>25</xdr:row>
      <xdr:rowOff>142875</xdr:rowOff>
    </xdr:to>
    <xdr:sp>
      <xdr:nvSpPr>
        <xdr:cNvPr id="4" name="Line 10"/>
        <xdr:cNvSpPr>
          <a:spLocks/>
        </xdr:cNvSpPr>
      </xdr:nvSpPr>
      <xdr:spPr>
        <a:xfrm flipH="1">
          <a:off x="13430250" y="3286125"/>
          <a:ext cx="10763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533400</xdr:colOff>
      <xdr:row>20</xdr:row>
      <xdr:rowOff>28575</xdr:rowOff>
    </xdr:from>
    <xdr:to>
      <xdr:col>21</xdr:col>
      <xdr:colOff>438150</xdr:colOff>
      <xdr:row>26</xdr:row>
      <xdr:rowOff>0</xdr:rowOff>
    </xdr:to>
    <xdr:sp>
      <xdr:nvSpPr>
        <xdr:cNvPr id="5" name="Line 11"/>
        <xdr:cNvSpPr>
          <a:spLocks/>
        </xdr:cNvSpPr>
      </xdr:nvSpPr>
      <xdr:spPr>
        <a:xfrm flipH="1">
          <a:off x="13449300" y="3314700"/>
          <a:ext cx="28384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8</xdr:row>
      <xdr:rowOff>0</xdr:rowOff>
    </xdr:from>
    <xdr:to>
      <xdr:col>18</xdr:col>
      <xdr:colOff>295275</xdr:colOff>
      <xdr:row>8</xdr:row>
      <xdr:rowOff>200025</xdr:rowOff>
    </xdr:to>
    <xdr:sp>
      <xdr:nvSpPr>
        <xdr:cNvPr id="6" name="Line 12"/>
        <xdr:cNvSpPr>
          <a:spLocks/>
        </xdr:cNvSpPr>
      </xdr:nvSpPr>
      <xdr:spPr>
        <a:xfrm>
          <a:off x="13849350" y="10001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23e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23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zoomScale="75" zoomScaleNormal="75" workbookViewId="0" topLeftCell="A1">
      <selection activeCell="D32" sqref="D32"/>
    </sheetView>
  </sheetViews>
  <sheetFormatPr defaultColWidth="11.421875" defaultRowHeight="12.75"/>
  <cols>
    <col min="1" max="1" width="14.7109375" style="0" customWidth="1"/>
    <col min="2" max="2" width="14.8515625" style="0" customWidth="1"/>
    <col min="3" max="3" width="13.7109375" style="0" customWidth="1"/>
    <col min="4" max="4" width="15.140625" style="0" customWidth="1"/>
    <col min="5" max="5" width="13.00390625" style="0" customWidth="1"/>
    <col min="6" max="6" width="12.57421875" style="0" customWidth="1"/>
    <col min="7" max="7" width="12.7109375" style="0" customWidth="1"/>
    <col min="8" max="8" width="5.28125" style="0" customWidth="1"/>
  </cols>
  <sheetData>
    <row r="1" spans="1:18" ht="13.5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130"/>
      <c r="N1" s="130"/>
      <c r="O1" s="130"/>
      <c r="P1" s="130"/>
      <c r="Q1" s="130"/>
      <c r="R1" s="130"/>
    </row>
    <row r="2" spans="1:18" ht="16.5" thickBot="1">
      <c r="A2" s="148" t="s">
        <v>108</v>
      </c>
      <c r="B2" s="30"/>
      <c r="C2" s="147">
        <v>-0.00237</v>
      </c>
      <c r="D2" s="30"/>
      <c r="E2" s="30"/>
      <c r="F2" s="30"/>
      <c r="G2" s="30"/>
      <c r="H2" s="44"/>
      <c r="I2" s="29"/>
      <c r="J2" s="29"/>
      <c r="K2" s="29"/>
      <c r="L2" s="29"/>
      <c r="M2" s="130"/>
      <c r="N2" s="130"/>
      <c r="O2" s="130"/>
      <c r="P2" s="130"/>
      <c r="Q2" s="130"/>
      <c r="R2" s="130"/>
    </row>
    <row r="3" spans="1:18" ht="12.75">
      <c r="A3" s="30"/>
      <c r="B3" s="30"/>
      <c r="C3" s="30"/>
      <c r="D3" s="30"/>
      <c r="E3" s="30"/>
      <c r="F3" s="30"/>
      <c r="G3" s="30"/>
      <c r="H3" s="29"/>
      <c r="I3" s="29"/>
      <c r="J3" s="29"/>
      <c r="K3" s="29"/>
      <c r="L3" s="29"/>
      <c r="M3" s="130"/>
      <c r="N3" s="130"/>
      <c r="O3" s="130"/>
      <c r="P3" s="130"/>
      <c r="Q3" s="130"/>
      <c r="R3" s="130"/>
    </row>
    <row r="4" spans="1:18" ht="12.75">
      <c r="A4" s="31" t="s">
        <v>6</v>
      </c>
      <c r="B4" s="30"/>
      <c r="C4" s="30"/>
      <c r="D4" s="29" t="s">
        <v>5</v>
      </c>
      <c r="E4" s="30"/>
      <c r="F4" s="30"/>
      <c r="G4" s="30"/>
      <c r="H4" s="29"/>
      <c r="I4" s="29"/>
      <c r="J4" s="29"/>
      <c r="K4" s="29"/>
      <c r="L4" s="29"/>
      <c r="M4" s="130"/>
      <c r="N4" s="130"/>
      <c r="O4" s="130"/>
      <c r="P4" s="130"/>
      <c r="Q4" s="130"/>
      <c r="R4" s="130"/>
    </row>
    <row r="5" spans="1:18" ht="12.75">
      <c r="A5" s="32" t="s">
        <v>47</v>
      </c>
      <c r="B5" s="30"/>
      <c r="C5" s="30"/>
      <c r="D5" s="29"/>
      <c r="E5" s="30"/>
      <c r="F5" s="30"/>
      <c r="G5" s="30"/>
      <c r="H5" s="29"/>
      <c r="I5" s="29"/>
      <c r="J5" s="29"/>
      <c r="K5" s="29"/>
      <c r="L5" s="29"/>
      <c r="M5" s="130"/>
      <c r="N5" s="130"/>
      <c r="O5" s="130"/>
      <c r="P5" s="130"/>
      <c r="Q5" s="130"/>
      <c r="R5" s="130"/>
    </row>
    <row r="6" spans="1:18" ht="12.75">
      <c r="A6" s="160" t="s">
        <v>48</v>
      </c>
      <c r="B6" s="161"/>
      <c r="C6" s="161"/>
      <c r="D6" s="161"/>
      <c r="E6" s="161"/>
      <c r="F6" s="161"/>
      <c r="G6" s="161"/>
      <c r="H6" s="29"/>
      <c r="I6" s="29"/>
      <c r="J6" s="29"/>
      <c r="K6" s="29"/>
      <c r="L6" s="29"/>
      <c r="M6" s="130"/>
      <c r="N6" s="130"/>
      <c r="O6" s="130"/>
      <c r="P6" s="130"/>
      <c r="Q6" s="130"/>
      <c r="R6" s="130"/>
    </row>
    <row r="7" spans="1:18" ht="13.5" thickBot="1">
      <c r="A7" s="161"/>
      <c r="B7" s="161"/>
      <c r="C7" s="161"/>
      <c r="D7" s="161"/>
      <c r="E7" s="161"/>
      <c r="F7" s="161"/>
      <c r="G7" s="161"/>
      <c r="H7" s="29"/>
      <c r="I7" s="29"/>
      <c r="J7" s="29"/>
      <c r="K7" s="29"/>
      <c r="L7" s="29"/>
      <c r="M7" s="130"/>
      <c r="N7" s="130"/>
      <c r="O7" s="130"/>
      <c r="P7" s="130"/>
      <c r="Q7" s="130"/>
      <c r="R7" s="130"/>
    </row>
    <row r="8" spans="1:18" ht="13.5" thickBot="1">
      <c r="A8" s="31"/>
      <c r="B8" s="17" t="s">
        <v>1</v>
      </c>
      <c r="C8" s="18" t="s">
        <v>2</v>
      </c>
      <c r="D8" s="162" t="s">
        <v>3</v>
      </c>
      <c r="E8" s="163"/>
      <c r="F8" s="162" t="s">
        <v>4</v>
      </c>
      <c r="G8" s="163"/>
      <c r="H8" s="29"/>
      <c r="I8" s="29"/>
      <c r="J8" s="29"/>
      <c r="K8" s="29"/>
      <c r="L8" s="29"/>
      <c r="M8" s="130"/>
      <c r="N8" s="130"/>
      <c r="O8" s="130"/>
      <c r="P8" s="130"/>
      <c r="Q8" s="130"/>
      <c r="R8" s="130"/>
    </row>
    <row r="9" spans="1:18" ht="12.75">
      <c r="A9" s="36" t="s">
        <v>0</v>
      </c>
      <c r="B9" s="17" t="s">
        <v>40</v>
      </c>
      <c r="C9" s="17" t="s">
        <v>41</v>
      </c>
      <c r="D9" s="17" t="s">
        <v>42</v>
      </c>
      <c r="E9" s="17" t="s">
        <v>43</v>
      </c>
      <c r="F9" s="17" t="s">
        <v>44</v>
      </c>
      <c r="G9" s="17" t="s">
        <v>45</v>
      </c>
      <c r="H9" s="29"/>
      <c r="I9" s="29"/>
      <c r="J9" s="29"/>
      <c r="K9" s="29"/>
      <c r="L9" s="29"/>
      <c r="M9" s="130"/>
      <c r="N9" s="130"/>
      <c r="O9" s="130"/>
      <c r="P9" s="130"/>
      <c r="Q9" s="130"/>
      <c r="R9" s="130"/>
    </row>
    <row r="10" spans="1:18" ht="12.75">
      <c r="A10" s="37" t="s">
        <v>50</v>
      </c>
      <c r="B10" s="19" t="s">
        <v>46</v>
      </c>
      <c r="C10" s="19" t="s">
        <v>46</v>
      </c>
      <c r="D10" s="19" t="s">
        <v>46</v>
      </c>
      <c r="E10" s="19"/>
      <c r="F10" s="19" t="s">
        <v>46</v>
      </c>
      <c r="G10" s="19"/>
      <c r="H10" s="29"/>
      <c r="I10" s="29"/>
      <c r="J10" s="29"/>
      <c r="K10" s="29"/>
      <c r="L10" s="29"/>
      <c r="M10" s="130"/>
      <c r="N10" s="130"/>
      <c r="O10" s="130"/>
      <c r="P10" s="130"/>
      <c r="Q10" s="130"/>
      <c r="R10" s="130"/>
    </row>
    <row r="11" spans="1:18" ht="13.5" thickBot="1">
      <c r="A11" s="37"/>
      <c r="B11" s="19">
        <v>-0.00062</v>
      </c>
      <c r="C11" s="19">
        <v>-0.00055</v>
      </c>
      <c r="D11" s="19">
        <v>-0.00054</v>
      </c>
      <c r="E11" s="19"/>
      <c r="F11" s="19">
        <v>-0.0005</v>
      </c>
      <c r="G11" s="19"/>
      <c r="H11" s="29"/>
      <c r="I11" s="29"/>
      <c r="J11" s="29"/>
      <c r="K11" s="29"/>
      <c r="L11" s="29"/>
      <c r="M11" s="130"/>
      <c r="N11" s="130"/>
      <c r="O11" s="130"/>
      <c r="P11" s="130"/>
      <c r="Q11" s="130"/>
      <c r="R11" s="130"/>
    </row>
    <row r="12" spans="1:18" ht="12.75">
      <c r="A12" s="1">
        <v>0</v>
      </c>
      <c r="B12" s="102">
        <v>0</v>
      </c>
      <c r="C12" s="102">
        <v>0</v>
      </c>
      <c r="D12" s="102">
        <v>0</v>
      </c>
      <c r="E12" s="102"/>
      <c r="F12" s="102">
        <v>0</v>
      </c>
      <c r="G12" s="102"/>
      <c r="H12" s="29"/>
      <c r="I12" s="29"/>
      <c r="J12" s="29"/>
      <c r="K12" s="29"/>
      <c r="L12" s="29"/>
      <c r="M12" s="130"/>
      <c r="N12" s="130"/>
      <c r="O12" s="130"/>
      <c r="P12" s="130"/>
      <c r="Q12" s="130"/>
      <c r="R12" s="130"/>
    </row>
    <row r="13" spans="1:18" ht="12.75">
      <c r="A13" s="2">
        <v>10</v>
      </c>
      <c r="B13" s="102">
        <v>0.20013</v>
      </c>
      <c r="C13" s="102">
        <v>0.2001</v>
      </c>
      <c r="D13" s="102">
        <v>0.20014</v>
      </c>
      <c r="E13" s="102">
        <v>0.20023</v>
      </c>
      <c r="F13" s="102">
        <v>0.20011</v>
      </c>
      <c r="G13" s="102">
        <v>0.20022</v>
      </c>
      <c r="H13" s="29"/>
      <c r="I13" s="29"/>
      <c r="J13" s="29"/>
      <c r="K13" s="29"/>
      <c r="L13" s="29"/>
      <c r="M13" s="130"/>
      <c r="N13" s="130"/>
      <c r="O13" s="130"/>
      <c r="P13" s="130"/>
      <c r="Q13" s="130"/>
      <c r="R13" s="130"/>
    </row>
    <row r="14" spans="1:18" ht="12.75">
      <c r="A14" s="2">
        <v>20</v>
      </c>
      <c r="B14" s="102">
        <v>0.40027</v>
      </c>
      <c r="C14" s="102">
        <v>0.40023</v>
      </c>
      <c r="D14" s="102">
        <v>0.40027</v>
      </c>
      <c r="E14" s="102">
        <v>0.4004</v>
      </c>
      <c r="F14" s="102">
        <v>0.40025</v>
      </c>
      <c r="G14" s="102">
        <v>0.40037</v>
      </c>
      <c r="H14" s="29"/>
      <c r="I14" s="29"/>
      <c r="J14" s="29"/>
      <c r="K14" s="29"/>
      <c r="L14" s="29"/>
      <c r="M14" s="130"/>
      <c r="N14" s="130"/>
      <c r="O14" s="130"/>
      <c r="P14" s="130"/>
      <c r="Q14" s="130"/>
      <c r="R14" s="130"/>
    </row>
    <row r="15" spans="1:18" ht="12.75">
      <c r="A15" s="2">
        <v>30</v>
      </c>
      <c r="B15" s="102">
        <v>0.60041</v>
      </c>
      <c r="C15" s="102">
        <v>0.60037</v>
      </c>
      <c r="D15" s="102">
        <v>0.60042</v>
      </c>
      <c r="E15" s="102">
        <v>0.60056</v>
      </c>
      <c r="F15" s="102">
        <v>0.60039</v>
      </c>
      <c r="G15" s="102">
        <v>0.60053</v>
      </c>
      <c r="H15" s="29"/>
      <c r="I15" s="29"/>
      <c r="J15" s="29"/>
      <c r="K15" s="29"/>
      <c r="L15" s="29"/>
      <c r="M15" s="130"/>
      <c r="N15" s="130"/>
      <c r="O15" s="130"/>
      <c r="P15" s="130"/>
      <c r="Q15" s="130"/>
      <c r="R15" s="130"/>
    </row>
    <row r="16" spans="1:18" ht="12.75">
      <c r="A16" s="2">
        <v>40</v>
      </c>
      <c r="B16" s="102">
        <v>0.80055</v>
      </c>
      <c r="C16" s="102">
        <v>0.80051</v>
      </c>
      <c r="D16" s="102">
        <v>0.80057</v>
      </c>
      <c r="E16" s="102">
        <v>0.80072</v>
      </c>
      <c r="F16" s="102">
        <v>0.80054</v>
      </c>
      <c r="G16" s="102">
        <v>0.80069</v>
      </c>
      <c r="H16" s="29"/>
      <c r="I16" s="29"/>
      <c r="J16" s="29"/>
      <c r="K16" s="29"/>
      <c r="L16" s="29"/>
      <c r="M16" s="130"/>
      <c r="N16" s="130"/>
      <c r="O16" s="130"/>
      <c r="P16" s="130"/>
      <c r="Q16" s="130"/>
      <c r="R16" s="130"/>
    </row>
    <row r="17" spans="1:18" ht="12.75">
      <c r="A17" s="2">
        <v>50</v>
      </c>
      <c r="B17" s="102">
        <v>1.00071</v>
      </c>
      <c r="C17" s="102">
        <v>1.00067</v>
      </c>
      <c r="D17" s="102">
        <v>1.00073</v>
      </c>
      <c r="E17" s="102">
        <v>1.00089</v>
      </c>
      <c r="F17" s="102">
        <v>1.0007</v>
      </c>
      <c r="G17" s="102">
        <v>1.00084</v>
      </c>
      <c r="H17" s="29"/>
      <c r="I17" s="29" t="s">
        <v>62</v>
      </c>
      <c r="J17" s="29"/>
      <c r="K17" s="29"/>
      <c r="L17" s="29"/>
      <c r="M17" s="130"/>
      <c r="N17" s="130"/>
      <c r="O17" s="130"/>
      <c r="P17" s="130"/>
      <c r="Q17" s="130"/>
      <c r="R17" s="130"/>
    </row>
    <row r="18" spans="1:18" ht="12.75">
      <c r="A18" s="2">
        <v>60</v>
      </c>
      <c r="B18" s="102">
        <v>1.20088</v>
      </c>
      <c r="C18" s="102">
        <v>1.20084</v>
      </c>
      <c r="D18" s="102">
        <v>1.20091</v>
      </c>
      <c r="E18" s="102">
        <v>1.20104</v>
      </c>
      <c r="F18" s="102">
        <v>1.20087</v>
      </c>
      <c r="G18" s="102">
        <v>1.201</v>
      </c>
      <c r="H18" s="29"/>
      <c r="I18" s="29" t="s">
        <v>63</v>
      </c>
      <c r="J18" s="29"/>
      <c r="K18" s="29"/>
      <c r="L18" s="29"/>
      <c r="M18" s="130"/>
      <c r="N18" s="130"/>
      <c r="O18" s="130"/>
      <c r="P18" s="130"/>
      <c r="Q18" s="130"/>
      <c r="R18" s="130"/>
    </row>
    <row r="19" spans="1:18" ht="12.75">
      <c r="A19" s="2">
        <v>70</v>
      </c>
      <c r="B19" s="102">
        <v>1.40106</v>
      </c>
      <c r="C19" s="102">
        <v>1.40102</v>
      </c>
      <c r="D19" s="102">
        <v>1.40109</v>
      </c>
      <c r="E19" s="102">
        <v>1.4012</v>
      </c>
      <c r="F19" s="102">
        <v>1.40105</v>
      </c>
      <c r="G19" s="102">
        <v>1.40116</v>
      </c>
      <c r="H19" s="29"/>
      <c r="I19" s="29"/>
      <c r="J19" s="29"/>
      <c r="K19" s="29"/>
      <c r="L19" s="29"/>
      <c r="M19" s="130"/>
      <c r="N19" s="130"/>
      <c r="O19" s="130"/>
      <c r="P19" s="130"/>
      <c r="Q19" s="130"/>
      <c r="R19" s="130"/>
    </row>
    <row r="20" spans="1:18" ht="12.75">
      <c r="A20" s="2">
        <v>80</v>
      </c>
      <c r="B20" s="102">
        <v>1.60125</v>
      </c>
      <c r="C20" s="102">
        <v>1.60121</v>
      </c>
      <c r="D20" s="102">
        <v>1.60129</v>
      </c>
      <c r="E20" s="102">
        <v>1.60136</v>
      </c>
      <c r="F20" s="102">
        <v>1.60125</v>
      </c>
      <c r="G20" s="102">
        <v>1.60132</v>
      </c>
      <c r="H20" s="29"/>
      <c r="I20" s="29"/>
      <c r="J20" s="29"/>
      <c r="K20" s="29"/>
      <c r="L20" s="29"/>
      <c r="M20" s="130"/>
      <c r="N20" s="130"/>
      <c r="O20" s="130"/>
      <c r="P20" s="130"/>
      <c r="Q20" s="130"/>
      <c r="R20" s="130"/>
    </row>
    <row r="21" spans="1:18" ht="12.75">
      <c r="A21" s="2">
        <v>90</v>
      </c>
      <c r="B21" s="102">
        <v>1.80145</v>
      </c>
      <c r="C21" s="102">
        <v>1.80141</v>
      </c>
      <c r="D21" s="102">
        <v>1.80149</v>
      </c>
      <c r="E21" s="102">
        <v>1.80153</v>
      </c>
      <c r="F21" s="102">
        <v>1.80144</v>
      </c>
      <c r="G21" s="102">
        <v>1.80148</v>
      </c>
      <c r="H21" s="29"/>
      <c r="I21" s="29"/>
      <c r="J21" s="29"/>
      <c r="K21" s="29"/>
      <c r="L21" s="29"/>
      <c r="M21" s="130"/>
      <c r="N21" s="130"/>
      <c r="O21" s="130"/>
      <c r="P21" s="130"/>
      <c r="Q21" s="130"/>
      <c r="R21" s="130"/>
    </row>
    <row r="22" spans="1:18" ht="12.75">
      <c r="A22" s="2">
        <v>100</v>
      </c>
      <c r="B22" s="102">
        <v>2.00164</v>
      </c>
      <c r="C22" s="102">
        <v>2.00161</v>
      </c>
      <c r="D22" s="102">
        <v>2.00169</v>
      </c>
      <c r="E22" s="102"/>
      <c r="F22" s="102">
        <v>2.00164</v>
      </c>
      <c r="G22" s="102"/>
      <c r="H22" s="29"/>
      <c r="I22" s="29"/>
      <c r="J22" s="29"/>
      <c r="K22" s="29"/>
      <c r="L22" s="29"/>
      <c r="M22" s="130"/>
      <c r="N22" s="130"/>
      <c r="O22" s="130"/>
      <c r="P22" s="130"/>
      <c r="Q22" s="130"/>
      <c r="R22" s="130"/>
    </row>
    <row r="23" spans="1:18" ht="13.5" thickBot="1">
      <c r="A23" s="3">
        <v>0</v>
      </c>
      <c r="B23" s="102">
        <v>0.00013</v>
      </c>
      <c r="C23" s="102">
        <v>9E-05</v>
      </c>
      <c r="D23" s="102"/>
      <c r="E23" s="102">
        <v>7E-05</v>
      </c>
      <c r="F23" s="102"/>
      <c r="G23" s="102">
        <v>6E-05</v>
      </c>
      <c r="H23" s="29"/>
      <c r="I23" s="29"/>
      <c r="J23" s="29"/>
      <c r="K23" s="29"/>
      <c r="L23" s="29"/>
      <c r="M23" s="130"/>
      <c r="N23" s="130"/>
      <c r="O23" s="130"/>
      <c r="P23" s="130"/>
      <c r="Q23" s="130"/>
      <c r="R23" s="130"/>
    </row>
    <row r="24" spans="1:18" ht="12.75">
      <c r="A24" s="30"/>
      <c r="B24" s="30"/>
      <c r="C24" s="30"/>
      <c r="D24" s="30"/>
      <c r="E24" s="30"/>
      <c r="F24" s="30" t="s">
        <v>22</v>
      </c>
      <c r="G24" s="30"/>
      <c r="H24" s="29"/>
      <c r="I24" s="29"/>
      <c r="J24" s="29"/>
      <c r="K24" s="29"/>
      <c r="L24" s="29"/>
      <c r="M24" s="130"/>
      <c r="N24" s="130"/>
      <c r="O24" s="130"/>
      <c r="P24" s="130"/>
      <c r="Q24" s="130"/>
      <c r="R24" s="130"/>
    </row>
    <row r="25" spans="1:18" ht="12.75">
      <c r="A25" s="30"/>
      <c r="B25" s="30"/>
      <c r="C25" s="30"/>
      <c r="D25" s="30"/>
      <c r="E25" s="30"/>
      <c r="F25" s="30"/>
      <c r="G25" s="30"/>
      <c r="H25" s="29"/>
      <c r="I25" s="29"/>
      <c r="J25" s="29"/>
      <c r="K25" s="29"/>
      <c r="L25" s="29"/>
      <c r="M25" s="130"/>
      <c r="N25" s="130"/>
      <c r="O25" s="130"/>
      <c r="P25" s="130"/>
      <c r="Q25" s="130"/>
      <c r="R25" s="130"/>
    </row>
    <row r="26" spans="1:18" ht="12.75">
      <c r="A26" s="30"/>
      <c r="B26" s="30"/>
      <c r="C26" s="30"/>
      <c r="D26" s="30"/>
      <c r="E26" s="30"/>
      <c r="F26" s="30"/>
      <c r="G26" s="30"/>
      <c r="H26" s="29"/>
      <c r="I26" s="29"/>
      <c r="J26" s="29"/>
      <c r="K26" s="29"/>
      <c r="L26" s="29"/>
      <c r="M26" s="130"/>
      <c r="N26" s="130"/>
      <c r="O26" s="130"/>
      <c r="P26" s="130"/>
      <c r="Q26" s="130"/>
      <c r="R26" s="130"/>
    </row>
    <row r="27" spans="1:18" ht="12.7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130"/>
      <c r="N27" s="130"/>
      <c r="O27" s="130"/>
      <c r="P27" s="130"/>
      <c r="Q27" s="130"/>
      <c r="R27" s="130"/>
    </row>
    <row r="28" spans="1:18" ht="12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130"/>
      <c r="N28" s="130"/>
      <c r="O28" s="130"/>
      <c r="P28" s="130"/>
      <c r="Q28" s="130"/>
      <c r="R28" s="130"/>
    </row>
    <row r="29" spans="1:18" ht="12.75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</row>
    <row r="30" spans="1:18" ht="12.75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</row>
    <row r="31" spans="1:18" ht="12.75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</row>
    <row r="32" spans="1:18" ht="12.75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</row>
    <row r="33" spans="1:18" ht="12.75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</row>
    <row r="34" spans="1:18" ht="12.75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</row>
    <row r="35" spans="1:18" ht="12.75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</row>
    <row r="36" spans="1:18" ht="12.75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</row>
    <row r="37" spans="1:18" ht="12.75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</row>
    <row r="38" spans="1:18" ht="12.75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</row>
    <row r="39" spans="1:18" ht="12.75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</row>
    <row r="40" spans="1:18" ht="12.75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</row>
    <row r="41" spans="1:18" ht="12.75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</row>
    <row r="42" spans="1:18" ht="12.75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</row>
    <row r="43" spans="1:18" ht="12.75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</row>
    <row r="44" spans="1:18" ht="12.75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</row>
    <row r="45" spans="1:18" ht="12.75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</row>
    <row r="46" spans="1:18" ht="12.75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</row>
    <row r="47" spans="1:18" ht="12.75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</row>
    <row r="48" spans="1:18" ht="12.75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</row>
    <row r="49" spans="1:18" ht="12.75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</row>
    <row r="50" spans="1:18" ht="12.75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</row>
  </sheetData>
  <sheetProtection sheet="1" objects="1" scenarios="1"/>
  <mergeCells count="3">
    <mergeCell ref="A6:G7"/>
    <mergeCell ref="D8:E8"/>
    <mergeCell ref="F8:G8"/>
  </mergeCells>
  <printOptions/>
  <pageMargins left="0.47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79"/>
  <sheetViews>
    <sheetView zoomScale="75" zoomScaleNormal="75" workbookViewId="0" topLeftCell="A1">
      <selection activeCell="E20" sqref="E20"/>
    </sheetView>
  </sheetViews>
  <sheetFormatPr defaultColWidth="11.421875" defaultRowHeight="12.75"/>
  <cols>
    <col min="1" max="1" width="9.00390625" style="0" customWidth="1"/>
    <col min="2" max="2" width="9.140625" style="0" customWidth="1"/>
    <col min="3" max="3" width="7.57421875" style="0" customWidth="1"/>
    <col min="5" max="5" width="16.7109375" style="0" bestFit="1" customWidth="1"/>
    <col min="6" max="6" width="8.57421875" style="0" customWidth="1"/>
    <col min="7" max="7" width="8.140625" style="0" customWidth="1"/>
    <col min="12" max="12" width="16.7109375" style="0" customWidth="1"/>
    <col min="13" max="13" width="15.8515625" style="0" customWidth="1"/>
    <col min="14" max="14" width="22.7109375" style="0" customWidth="1"/>
    <col min="15" max="15" width="8.00390625" style="0" customWidth="1"/>
    <col min="16" max="17" width="11.421875" style="44" customWidth="1"/>
    <col min="18" max="18" width="17.28125" style="44" customWidth="1"/>
    <col min="19" max="19" width="17.00390625" style="44" customWidth="1"/>
    <col min="20" max="20" width="13.28125" style="44" customWidth="1"/>
  </cols>
  <sheetData>
    <row r="1" spans="1:46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141"/>
      <c r="Q1" s="141"/>
      <c r="R1" s="141"/>
      <c r="S1" s="141"/>
      <c r="T1" s="141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</row>
    <row r="2" spans="1:46" ht="14.25">
      <c r="A2" s="31" t="s">
        <v>7</v>
      </c>
      <c r="B2" s="29"/>
      <c r="C2" s="31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141"/>
      <c r="Q2" s="141"/>
      <c r="R2" s="141"/>
      <c r="S2" s="141"/>
      <c r="T2" s="141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</row>
    <row r="3" spans="1:46" ht="13.5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141"/>
      <c r="Q3" s="141"/>
      <c r="R3" s="141"/>
      <c r="S3" s="141"/>
      <c r="T3" s="141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ht="16.5" thickBot="1">
      <c r="A4" s="29"/>
      <c r="B4" s="29"/>
      <c r="C4" s="134" t="s">
        <v>8</v>
      </c>
      <c r="D4" s="132" t="s">
        <v>9</v>
      </c>
      <c r="E4" s="4" t="s">
        <v>10</v>
      </c>
      <c r="F4" s="4" t="s">
        <v>11</v>
      </c>
      <c r="G4" s="5" t="s">
        <v>12</v>
      </c>
      <c r="H4" s="29"/>
      <c r="I4" s="29"/>
      <c r="J4" s="29"/>
      <c r="K4" s="29"/>
      <c r="L4" s="29"/>
      <c r="M4" s="29"/>
      <c r="N4" s="29"/>
      <c r="O4" s="29"/>
      <c r="P4" s="141"/>
      <c r="Q4" s="141"/>
      <c r="R4" s="141"/>
      <c r="S4" s="141"/>
      <c r="T4" s="141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1:46" ht="15" thickBot="1">
      <c r="A5" s="29"/>
      <c r="B5" s="29"/>
      <c r="C5" s="133" t="s">
        <v>13</v>
      </c>
      <c r="D5" s="38">
        <f>(Informe!B23-Informe!B12)/Informe!B22*100</f>
        <v>0.006494674367019043</v>
      </c>
      <c r="E5" s="38">
        <f>(Informe!C23-Informe!C12)/Informe!C22*100</f>
        <v>0.004496380413766918</v>
      </c>
      <c r="F5" s="38">
        <f>(Informe!E23-Informe!D12)/Informe!D22*100</f>
        <v>0.003497044996977554</v>
      </c>
      <c r="G5" s="38">
        <f>(Informe!G23-Informe!F12)/Informe!F22*100</f>
        <v>0.002997542015547251</v>
      </c>
      <c r="H5" s="29"/>
      <c r="I5" s="29"/>
      <c r="J5" s="29"/>
      <c r="K5" s="29"/>
      <c r="L5" s="29"/>
      <c r="M5" s="29"/>
      <c r="N5" s="29"/>
      <c r="O5" s="29"/>
      <c r="P5" s="141"/>
      <c r="Q5" s="141"/>
      <c r="R5" s="141"/>
      <c r="S5" s="141"/>
      <c r="T5" s="141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</row>
    <row r="6" spans="1:46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141"/>
      <c r="Q6" s="141"/>
      <c r="R6" s="141"/>
      <c r="S6" s="141"/>
      <c r="T6" s="141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:46" ht="14.25">
      <c r="A7" s="29"/>
      <c r="B7" s="35" t="s">
        <v>23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141"/>
      <c r="Q7" s="141"/>
      <c r="R7" s="141"/>
      <c r="S7" s="141"/>
      <c r="T7" s="141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</row>
    <row r="8" spans="1:46" ht="12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141"/>
      <c r="Q8" s="141"/>
      <c r="R8" s="141"/>
      <c r="S8" s="141"/>
      <c r="T8" s="141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</row>
    <row r="9" spans="1:46" ht="14.25">
      <c r="A9" s="31" t="s">
        <v>21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141"/>
      <c r="Q9" s="141"/>
      <c r="R9" s="141"/>
      <c r="S9" s="141"/>
      <c r="T9" s="141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</row>
    <row r="10" spans="1:46" ht="12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141"/>
      <c r="Q10" s="141"/>
      <c r="R10" s="141"/>
      <c r="S10" s="141"/>
      <c r="T10" s="141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</row>
    <row r="11" spans="1:34" ht="15" thickBo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46" t="s">
        <v>91</v>
      </c>
      <c r="O11" s="29"/>
      <c r="P11" s="141"/>
      <c r="Q11" s="141"/>
      <c r="R11" s="141"/>
      <c r="S11" s="141"/>
      <c r="T11" s="141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</row>
    <row r="12" spans="1:34" ht="35.25" customHeight="1">
      <c r="A12" s="85" t="s">
        <v>14</v>
      </c>
      <c r="B12" s="6" t="s">
        <v>15</v>
      </c>
      <c r="C12" s="6" t="s">
        <v>16</v>
      </c>
      <c r="D12" s="6" t="s">
        <v>17</v>
      </c>
      <c r="E12" s="6" t="s">
        <v>18</v>
      </c>
      <c r="F12" s="6" t="s">
        <v>19</v>
      </c>
      <c r="G12" s="6" t="s">
        <v>20</v>
      </c>
      <c r="H12" s="29"/>
      <c r="I12" s="29"/>
      <c r="J12" s="127" t="s">
        <v>83</v>
      </c>
      <c r="K12" s="157" t="s">
        <v>84</v>
      </c>
      <c r="L12" s="158" t="s">
        <v>85</v>
      </c>
      <c r="M12" s="101" t="s">
        <v>86</v>
      </c>
      <c r="N12" s="100" t="s">
        <v>87</v>
      </c>
      <c r="O12" s="29"/>
      <c r="P12" s="142"/>
      <c r="Q12" s="143"/>
      <c r="R12" s="143"/>
      <c r="S12" s="143"/>
      <c r="T12" s="143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</row>
    <row r="13" spans="1:34" ht="12.75">
      <c r="A13" s="28">
        <f>Informe!A13</f>
        <v>10</v>
      </c>
      <c r="B13" s="136">
        <f>(Informe!B13+Informe!D13+Informe!F13)/3</f>
        <v>0.20012666666666667</v>
      </c>
      <c r="C13" s="137">
        <f>(MAX(Informe!B13,Informe!D13,Informe!F13)-MIN(Informe!B13,Informe!D13,Informe!F13))/B13*100</f>
        <v>0.014990506012859645</v>
      </c>
      <c r="D13" s="136">
        <f>(Informe!B13+Informe!C13)/2</f>
        <v>0.200115</v>
      </c>
      <c r="E13" s="137">
        <f>ABS(Informe!C13-Informe!B13)/D13*100</f>
        <v>0.014991379956526121</v>
      </c>
      <c r="F13" s="136">
        <f>(B13-'calculos auxiliar'!C2)/'calculos auxiliar'!C2*100</f>
        <v>-0.00152791378694095</v>
      </c>
      <c r="G13" s="138">
        <f>ABS((Informe!E13-Informe!D13)/Informe!D13)*100/2+ABS((Informe!G13-Informe!F13)/Informe!F13)*100/2</f>
        <v>0.049969144331459596</v>
      </c>
      <c r="H13" s="29"/>
      <c r="I13" s="29"/>
      <c r="J13" s="156">
        <f>$B$22/$A$22*A13</f>
        <v>0.2001656666666667</v>
      </c>
      <c r="K13" s="156">
        <f>J13-B13</f>
        <v>3.900000000001125E-05</v>
      </c>
      <c r="L13" s="159">
        <f>K13/$B$22*100</f>
        <v>0.0019483860868586144</v>
      </c>
      <c r="M13" s="128">
        <f>K13/B13*100</f>
        <v>0.0194876578167217</v>
      </c>
      <c r="N13" s="71">
        <f aca="true" t="shared" si="0" ref="N13:N22">M13/SQRT(3)</f>
        <v>0.011251204486359589</v>
      </c>
      <c r="O13" s="29"/>
      <c r="P13" s="144"/>
      <c r="Q13" s="144"/>
      <c r="R13" s="141"/>
      <c r="S13" s="141"/>
      <c r="T13" s="145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</row>
    <row r="14" spans="1:34" ht="12.75">
      <c r="A14" s="28">
        <f>Informe!A14</f>
        <v>20</v>
      </c>
      <c r="B14" s="136">
        <f>(Informe!B14+Informe!D14+Informe!F14)/3</f>
        <v>0.40026333333333336</v>
      </c>
      <c r="C14" s="137">
        <f>(MAX(Informe!B14,Informe!D14,Informe!F14)-MIN(Informe!B14,Informe!D14,Informe!F14))/B14*100</f>
        <v>0.00499671049892654</v>
      </c>
      <c r="D14" s="136">
        <f>(Informe!B14+Informe!C14)/2</f>
        <v>0.40025</v>
      </c>
      <c r="E14" s="137">
        <f>ABS(Informe!C14-Informe!B14)/D14*100</f>
        <v>0.009993753903820114</v>
      </c>
      <c r="F14" s="136">
        <f>(B14-'calculos auxiliar'!C3)/'calculos auxiliar'!C3*100</f>
        <v>0.0007445033710107795</v>
      </c>
      <c r="G14" s="138">
        <f>ABS((Informe!E14-Informe!D14)/Informe!D14)*100/2+ABS((Informe!G14-Informe!F14)/Informe!F14)*100/2</f>
        <v>0.03122966950462372</v>
      </c>
      <c r="H14" s="29"/>
      <c r="I14" s="29"/>
      <c r="J14" s="156">
        <f aca="true" t="shared" si="1" ref="J14:J22">$B$22/$A$22*A14</f>
        <v>0.4003313333333334</v>
      </c>
      <c r="K14" s="156">
        <f aca="true" t="shared" si="2" ref="K14:K22">J14-B14</f>
        <v>6.80000000000125E-05</v>
      </c>
      <c r="L14" s="159">
        <f aca="true" t="shared" si="3" ref="L14:L22">K14/$B$22*100</f>
        <v>0.0033971859975992797</v>
      </c>
      <c r="M14" s="128">
        <f aca="true" t="shared" si="4" ref="M14:M22">K14/B14*100</f>
        <v>0.016988815696336368</v>
      </c>
      <c r="N14" s="71">
        <f t="shared" si="0"/>
        <v>0.009808497315492742</v>
      </c>
      <c r="O14" s="29"/>
      <c r="P14" s="144"/>
      <c r="Q14" s="144"/>
      <c r="R14" s="141"/>
      <c r="S14" s="141"/>
      <c r="T14" s="145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</row>
    <row r="15" spans="1:34" ht="12.75">
      <c r="A15" s="28">
        <f>Informe!A15</f>
        <v>30</v>
      </c>
      <c r="B15" s="136">
        <f>(Informe!B15+Informe!D15+Informe!F15)/3</f>
        <v>0.6004066666666666</v>
      </c>
      <c r="C15" s="137">
        <f>(MAX(Informe!B15,Informe!D15,Informe!F15)-MIN(Informe!B15,Informe!D15,Informe!F15))/B15*100</f>
        <v>0.004996613406464701</v>
      </c>
      <c r="D15" s="136">
        <f>(Informe!B15+Informe!C15)/2</f>
        <v>0.60039</v>
      </c>
      <c r="E15" s="137">
        <f>ABS(Informe!C15-Informe!B15)/D15*100</f>
        <v>0.006662336148177019</v>
      </c>
      <c r="F15" s="136">
        <f>(B15-'calculos auxiliar'!C4)/'calculos auxiliar'!C4*100</f>
        <v>0.0007578185877561164</v>
      </c>
      <c r="G15" s="138">
        <f>ABS((Informe!E15-Informe!D15)/Informe!D15)*100/2+ABS((Informe!G15-Informe!F15)/Informe!F15)*100/2</f>
        <v>0.02331759397197075</v>
      </c>
      <c r="H15" s="29"/>
      <c r="I15" s="29"/>
      <c r="J15" s="156">
        <f t="shared" si="1"/>
        <v>0.6004970000000001</v>
      </c>
      <c r="K15" s="156">
        <f t="shared" si="2"/>
        <v>9.033333333341442E-05</v>
      </c>
      <c r="L15" s="159">
        <f t="shared" si="3"/>
        <v>0.004512928457598343</v>
      </c>
      <c r="M15" s="128">
        <f t="shared" si="4"/>
        <v>0.015045358146158896</v>
      </c>
      <c r="N15" s="71">
        <f t="shared" si="0"/>
        <v>0.008686441575739168</v>
      </c>
      <c r="O15" s="29"/>
      <c r="P15" s="144"/>
      <c r="Q15" s="144"/>
      <c r="R15" s="141"/>
      <c r="S15" s="141"/>
      <c r="T15" s="145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</row>
    <row r="16" spans="1:34" ht="12.75">
      <c r="A16" s="28">
        <f>Informe!A16</f>
        <v>40</v>
      </c>
      <c r="B16" s="136">
        <f>(Informe!B16+Informe!D16+Informe!F16)/3</f>
        <v>0.8005533333333332</v>
      </c>
      <c r="C16" s="137">
        <f>(MAX(Informe!B16,Informe!D16,Informe!F16)-MIN(Informe!B16,Informe!D16,Informe!F16))/B16*100</f>
        <v>0.0037474080427672314</v>
      </c>
      <c r="D16" s="136">
        <f>(Informe!B16+Informe!C16)/2</f>
        <v>0.80053</v>
      </c>
      <c r="E16" s="137">
        <f>ABS(Informe!C16-Informe!B16)/D16*100</f>
        <v>0.004996689693069464</v>
      </c>
      <c r="F16" s="136">
        <f>(B16-'calculos auxiliar'!C5)/'calculos auxiliar'!C5*100</f>
        <v>-0.00014156892888803863</v>
      </c>
      <c r="G16" s="138">
        <f>ABS((Informe!E16-Informe!D16)/Informe!D16)*100/2+ABS((Informe!G16-Informe!F16)/Informe!F16)*100/2</f>
        <v>0.018737001211989776</v>
      </c>
      <c r="H16" s="29"/>
      <c r="I16" s="29"/>
      <c r="J16" s="156">
        <f t="shared" si="1"/>
        <v>0.8006626666666667</v>
      </c>
      <c r="K16" s="156">
        <f t="shared" si="2"/>
        <v>0.00010933333333351669</v>
      </c>
      <c r="L16" s="159">
        <f t="shared" si="3"/>
        <v>0.005462142192226607</v>
      </c>
      <c r="M16" s="128">
        <f t="shared" si="4"/>
        <v>0.013657220422563981</v>
      </c>
      <c r="N16" s="71">
        <f t="shared" si="0"/>
        <v>0.00788499988734937</v>
      </c>
      <c r="O16" s="29"/>
      <c r="P16" s="144"/>
      <c r="Q16" s="144"/>
      <c r="R16" s="141"/>
      <c r="S16" s="141"/>
      <c r="T16" s="145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</row>
    <row r="17" spans="1:34" ht="12.75">
      <c r="A17" s="28">
        <f>Informe!A17</f>
        <v>50</v>
      </c>
      <c r="B17" s="136">
        <f>(Informe!B17+Informe!D17+Informe!F17)/3</f>
        <v>1.0007133333333333</v>
      </c>
      <c r="C17" s="137">
        <f>(MAX(Informe!B17,Informe!D17,Informe!F17)-MIN(Informe!B17,Informe!D17,Informe!F17))/B17*100</f>
        <v>0.0029978615254426335</v>
      </c>
      <c r="D17" s="136">
        <f>(Informe!B17+Informe!C17)/2</f>
        <v>1.00069</v>
      </c>
      <c r="E17" s="137">
        <f>ABS(Informe!C17-Informe!B17)/D17*100</f>
        <v>0.003997241903090867</v>
      </c>
      <c r="F17" s="136">
        <f>(B17-'calculos auxiliar'!C6)/'calculos auxiliar'!C6*100</f>
        <v>-0.0003519625241477121</v>
      </c>
      <c r="G17" s="138">
        <f>ABS((Informe!E17-Informe!D17)/Informe!D17)*100/2+ABS((Informe!G17-Informe!F17)/Informe!F17)*100/2</f>
        <v>0.014989267687700258</v>
      </c>
      <c r="H17" s="29"/>
      <c r="I17" s="29"/>
      <c r="J17" s="156">
        <f t="shared" si="1"/>
        <v>1.0008283333333334</v>
      </c>
      <c r="K17" s="156">
        <f t="shared" si="2"/>
        <v>0.00011500000000008725</v>
      </c>
      <c r="L17" s="159">
        <f t="shared" si="3"/>
        <v>0.005745241025355027</v>
      </c>
      <c r="M17" s="128">
        <f t="shared" si="4"/>
        <v>0.011491802514215253</v>
      </c>
      <c r="N17" s="71">
        <f t="shared" si="0"/>
        <v>0.006634795275056195</v>
      </c>
      <c r="O17" s="29"/>
      <c r="P17" s="144"/>
      <c r="Q17" s="144"/>
      <c r="R17" s="141"/>
      <c r="S17" s="141"/>
      <c r="T17" s="145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</row>
    <row r="18" spans="1:34" ht="12.75">
      <c r="A18" s="28">
        <f>Informe!A18</f>
        <v>60</v>
      </c>
      <c r="B18" s="136">
        <f>(Informe!B18+Informe!D18+Informe!F18)/3</f>
        <v>1.2008866666666667</v>
      </c>
      <c r="C18" s="137">
        <f>(MAX(Informe!B18,Informe!D18,Informe!F18)-MIN(Informe!B18,Informe!D18,Informe!F18))/B18*100</f>
        <v>0.0033308721888675005</v>
      </c>
      <c r="D18" s="136">
        <f>(Informe!B18+Informe!C18)/2</f>
        <v>1.20086</v>
      </c>
      <c r="E18" s="137">
        <f>ABS(Informe!C18-Informe!B18)/D18*100</f>
        <v>0.0033309461552587316</v>
      </c>
      <c r="F18" s="136">
        <f>(B18-'calculos auxiliar'!C7)/'calculos auxiliar'!C7*100</f>
        <v>-0.000172263367266141</v>
      </c>
      <c r="G18" s="138">
        <f>ABS((Informe!E18-Informe!D18)/Informe!D18)*100/2+ABS((Informe!G18-Informe!F18)/Informe!F18)*100/2</f>
        <v>0.010825304568789157</v>
      </c>
      <c r="H18" s="29"/>
      <c r="I18" s="29"/>
      <c r="J18" s="156">
        <f t="shared" si="1"/>
        <v>1.2009940000000001</v>
      </c>
      <c r="K18" s="156">
        <f t="shared" si="2"/>
        <v>0.00010733333333345918</v>
      </c>
      <c r="L18" s="159">
        <f t="shared" si="3"/>
        <v>0.005362224957000243</v>
      </c>
      <c r="M18" s="128">
        <f t="shared" si="4"/>
        <v>0.00893784037351228</v>
      </c>
      <c r="N18" s="71">
        <f t="shared" si="0"/>
        <v>0.005160264545621221</v>
      </c>
      <c r="O18" s="29"/>
      <c r="P18" s="144"/>
      <c r="Q18" s="144"/>
      <c r="R18" s="141"/>
      <c r="S18" s="141"/>
      <c r="T18" s="145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</row>
    <row r="19" spans="1:34" ht="12.75">
      <c r="A19" s="28">
        <f>Informe!A19</f>
        <v>70</v>
      </c>
      <c r="B19" s="136">
        <f>(Informe!B19+Informe!D19+Informe!F19)/3</f>
        <v>1.4010666666666667</v>
      </c>
      <c r="C19" s="137">
        <f>(MAX(Informe!B19,Informe!D19,Informe!F19)-MIN(Informe!B19,Informe!D19,Informe!F19))/B19*100</f>
        <v>0.0028549676437028934</v>
      </c>
      <c r="D19" s="136">
        <f>(Informe!B19+Informe!C19)/2</f>
        <v>1.40104</v>
      </c>
      <c r="E19" s="137">
        <f>ABS(Informe!C19-Informe!B19)/D19*100</f>
        <v>0.0028550219836721295</v>
      </c>
      <c r="F19" s="136">
        <f>(B19-'calculos auxiliar'!C8)/'calculos auxiliar'!C8*100</f>
        <v>-0.00020640279348440726</v>
      </c>
      <c r="G19" s="138">
        <f>ABS((Informe!E19-Informe!D19)/Informe!D19)*100/2+ABS((Informe!G19-Informe!F19)/Informe!F19)*100/2</f>
        <v>0.007851142342814364</v>
      </c>
      <c r="H19" s="29"/>
      <c r="I19" s="29"/>
      <c r="J19" s="156">
        <f t="shared" si="1"/>
        <v>1.4011596666666668</v>
      </c>
      <c r="K19" s="156">
        <f t="shared" si="2"/>
        <v>9.300000000012076E-05</v>
      </c>
      <c r="L19" s="159">
        <f t="shared" si="3"/>
        <v>0.0046461514378983125</v>
      </c>
      <c r="M19" s="128">
        <f t="shared" si="4"/>
        <v>0.006637799771611209</v>
      </c>
      <c r="N19" s="71">
        <f t="shared" si="0"/>
        <v>0.003832335484966568</v>
      </c>
      <c r="O19" s="29"/>
      <c r="P19" s="144"/>
      <c r="Q19" s="144"/>
      <c r="R19" s="141"/>
      <c r="S19" s="141"/>
      <c r="T19" s="145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</row>
    <row r="20" spans="1:34" ht="12.75">
      <c r="A20" s="28">
        <f>Informe!A20</f>
        <v>80</v>
      </c>
      <c r="B20" s="136">
        <f>(Informe!B20+Informe!D20+Informe!F20)/3</f>
        <v>1.6012633333333335</v>
      </c>
      <c r="C20" s="137">
        <f>(MAX(Informe!B20,Informe!D20,Informe!F20)-MIN(Informe!B20,Informe!D20,Informe!F20))/B20*100</f>
        <v>0.002498027599044088</v>
      </c>
      <c r="D20" s="136">
        <f>(Informe!B20+Informe!C20)/2</f>
        <v>1.6012300000000002</v>
      </c>
      <c r="E20" s="137">
        <f>ABS(Informe!C20-Informe!B20)/D20*100</f>
        <v>0.0024980796013089938</v>
      </c>
      <c r="F20" s="136">
        <f>(B20-'calculos auxiliar'!C9)/'calculos auxiliar'!C9*100</f>
        <v>0.0002845368471316822</v>
      </c>
      <c r="G20" s="138">
        <f>ABS((Informe!E20-Informe!D20)/Informe!D20)*100/2+ABS((Informe!G20-Informe!F20)/Informe!F20)*100/2</f>
        <v>0.004371530098660665</v>
      </c>
      <c r="H20" s="29"/>
      <c r="I20" s="29"/>
      <c r="J20" s="156">
        <f t="shared" si="1"/>
        <v>1.6013253333333335</v>
      </c>
      <c r="K20" s="156">
        <f t="shared" si="2"/>
        <v>6.20000000000065E-05</v>
      </c>
      <c r="L20" s="159">
        <f t="shared" si="3"/>
        <v>0.00309743429192851</v>
      </c>
      <c r="M20" s="128">
        <f t="shared" si="4"/>
        <v>0.00387194277851487</v>
      </c>
      <c r="N20" s="71">
        <f t="shared" si="0"/>
        <v>0.0022354672054623877</v>
      </c>
      <c r="O20" s="29"/>
      <c r="P20" s="144"/>
      <c r="Q20" s="144"/>
      <c r="R20" s="141"/>
      <c r="S20" s="141"/>
      <c r="T20" s="145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</row>
    <row r="21" spans="1:34" ht="12.75">
      <c r="A21" s="28">
        <f>Informe!A21</f>
        <v>90</v>
      </c>
      <c r="B21" s="136">
        <f>(Informe!B21+Informe!D21+Informe!F21)/3</f>
        <v>1.8014599999999998</v>
      </c>
      <c r="C21" s="137">
        <f>(MAX(Informe!B21,Informe!D21,Informe!F21)-MIN(Informe!B21,Informe!D21,Informe!F21))/B21*100</f>
        <v>0.0027755265173862046</v>
      </c>
      <c r="D21" s="136">
        <f>(Informe!B21+Informe!C21)/2</f>
        <v>1.8014299999999999</v>
      </c>
      <c r="E21" s="137">
        <f>ABS(Informe!C21-Informe!B21)/D21*100</f>
        <v>0.0022204581915500465</v>
      </c>
      <c r="F21" s="136">
        <f>(B21-'calculos auxiliar'!C10)/'calculos auxiliar'!C10*100</f>
        <v>0.0002307290163400153</v>
      </c>
      <c r="G21" s="138">
        <f>ABS((Informe!E21-Informe!D21)/Informe!D21)*100/2+ABS((Informe!G21-Informe!F21)/Informe!F21)*100/2</f>
        <v>0.002220415051513269</v>
      </c>
      <c r="H21" s="29"/>
      <c r="I21" s="29"/>
      <c r="J21" s="156">
        <f t="shared" si="1"/>
        <v>1.8014910000000002</v>
      </c>
      <c r="K21" s="156">
        <f t="shared" si="2"/>
        <v>3.1000000000336314E-05</v>
      </c>
      <c r="L21" s="159">
        <f t="shared" si="3"/>
        <v>0.0015487171459808945</v>
      </c>
      <c r="M21" s="128">
        <f t="shared" si="4"/>
        <v>0.0017208264407944844</v>
      </c>
      <c r="N21" s="71">
        <f t="shared" si="0"/>
        <v>0.0009935196088213213</v>
      </c>
      <c r="O21" s="29"/>
      <c r="P21" s="144"/>
      <c r="Q21" s="144"/>
      <c r="R21" s="141"/>
      <c r="S21" s="141"/>
      <c r="T21" s="145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</row>
    <row r="22" spans="1:34" ht="12.75">
      <c r="A22" s="28">
        <f>Informe!A22</f>
        <v>100</v>
      </c>
      <c r="B22" s="136">
        <f>(Informe!B22+Informe!D22+Informe!F22)/3</f>
        <v>2.001656666666667</v>
      </c>
      <c r="C22" s="137">
        <f>(MAX(Informe!B22,Informe!D22,Informe!F22)-MIN(Informe!B22,Informe!D22,Informe!F22))/B22*100</f>
        <v>0.002497930880581425</v>
      </c>
      <c r="D22" s="136">
        <f>(Informe!B22+Informe!C22)/2</f>
        <v>2.0016249999999998</v>
      </c>
      <c r="E22" s="137">
        <f>ABS(Informe!C22-Informe!B22)/D22*100</f>
        <v>0.0014987822394402818</v>
      </c>
      <c r="F22" s="136">
        <f>(B22-'calculos auxiliar'!C11)/'calculos auxiliar'!C11*100</f>
        <v>-0.000177009605118284</v>
      </c>
      <c r="G22" s="136"/>
      <c r="H22" s="29"/>
      <c r="I22" s="29"/>
      <c r="J22" s="156">
        <f t="shared" si="1"/>
        <v>2.001656666666667</v>
      </c>
      <c r="K22" s="156">
        <f t="shared" si="2"/>
        <v>0</v>
      </c>
      <c r="L22" s="159">
        <f t="shared" si="3"/>
        <v>0</v>
      </c>
      <c r="M22" s="128">
        <f t="shared" si="4"/>
        <v>0</v>
      </c>
      <c r="N22" s="71">
        <f t="shared" si="0"/>
        <v>0</v>
      </c>
      <c r="O22" s="29"/>
      <c r="P22" s="144"/>
      <c r="Q22" s="144"/>
      <c r="R22" s="141"/>
      <c r="S22" s="141"/>
      <c r="T22" s="145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</row>
    <row r="23" spans="1:34" ht="12.7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141"/>
      <c r="Q23" s="141"/>
      <c r="R23" s="141"/>
      <c r="S23" s="141"/>
      <c r="T23" s="141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</row>
    <row r="24" spans="1:34" ht="12.75">
      <c r="A24" s="27" t="s">
        <v>24</v>
      </c>
      <c r="B24" s="29"/>
      <c r="C24" s="29"/>
      <c r="D24" s="29"/>
      <c r="E24" s="29"/>
      <c r="F24" s="29"/>
      <c r="G24" s="29"/>
      <c r="H24" s="29"/>
      <c r="I24" s="29"/>
      <c r="J24" s="29" t="s">
        <v>88</v>
      </c>
      <c r="K24" s="29"/>
      <c r="L24" s="29"/>
      <c r="M24" s="29"/>
      <c r="N24" s="29"/>
      <c r="O24" s="29"/>
      <c r="P24" s="141"/>
      <c r="Q24" s="141"/>
      <c r="R24" s="141"/>
      <c r="S24" s="141"/>
      <c r="T24" s="141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</row>
    <row r="25" spans="1:34" ht="12.75">
      <c r="A25" s="29" t="s">
        <v>25</v>
      </c>
      <c r="B25" s="29"/>
      <c r="C25" s="29"/>
      <c r="D25" s="29"/>
      <c r="E25" s="29"/>
      <c r="F25" s="29"/>
      <c r="G25" s="29"/>
      <c r="H25" s="29"/>
      <c r="I25" s="29"/>
      <c r="J25" s="68">
        <v>0</v>
      </c>
      <c r="K25" s="69">
        <v>0</v>
      </c>
      <c r="L25" s="29"/>
      <c r="M25" s="29"/>
      <c r="N25" s="29"/>
      <c r="O25" s="29"/>
      <c r="P25" s="141"/>
      <c r="Q25" s="141"/>
      <c r="R25" s="141"/>
      <c r="S25" s="141"/>
      <c r="T25" s="141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</row>
    <row r="26" spans="1:34" ht="13.5" thickBot="1">
      <c r="A26" s="29" t="s">
        <v>26</v>
      </c>
      <c r="B26" s="29"/>
      <c r="C26" s="29"/>
      <c r="D26" s="29"/>
      <c r="E26" s="29"/>
      <c r="F26" s="29"/>
      <c r="G26" s="29"/>
      <c r="H26" s="29"/>
      <c r="I26" s="29"/>
      <c r="J26" s="70">
        <f>A22</f>
        <v>100</v>
      </c>
      <c r="K26" s="69">
        <f>B22</f>
        <v>2.001656666666667</v>
      </c>
      <c r="L26" s="29"/>
      <c r="M26" s="29"/>
      <c r="N26" s="29"/>
      <c r="O26" s="29"/>
      <c r="P26" s="146"/>
      <c r="Q26" s="141"/>
      <c r="R26" s="141"/>
      <c r="S26" s="141"/>
      <c r="T26" s="141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</row>
    <row r="27" spans="1:34" ht="15" thickTop="1">
      <c r="A27" s="29" t="s">
        <v>27</v>
      </c>
      <c r="B27" s="29"/>
      <c r="C27" s="29"/>
      <c r="D27" s="8" t="s">
        <v>31</v>
      </c>
      <c r="E27" s="20">
        <v>1.07777778E-05</v>
      </c>
      <c r="F27" s="72"/>
      <c r="G27" s="29"/>
      <c r="H27" s="29"/>
      <c r="I27" s="29"/>
      <c r="J27" s="29"/>
      <c r="K27" s="29"/>
      <c r="L27" s="29"/>
      <c r="M27" s="29"/>
      <c r="N27" s="29"/>
      <c r="O27" s="29"/>
      <c r="P27" s="141"/>
      <c r="Q27" s="141"/>
      <c r="R27" s="141"/>
      <c r="S27" s="141"/>
      <c r="T27" s="141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</row>
    <row r="28" spans="1:34" ht="12.75">
      <c r="A28" s="29" t="s">
        <v>28</v>
      </c>
      <c r="B28" s="29"/>
      <c r="C28" s="29"/>
      <c r="D28" s="9" t="s">
        <v>32</v>
      </c>
      <c r="E28" s="21">
        <v>0.0200112923</v>
      </c>
      <c r="F28" s="72"/>
      <c r="G28" s="29" t="s">
        <v>62</v>
      </c>
      <c r="H28" s="29"/>
      <c r="I28" s="29"/>
      <c r="J28" s="29"/>
      <c r="K28" s="29"/>
      <c r="L28" s="29"/>
      <c r="M28" s="29"/>
      <c r="N28" s="29"/>
      <c r="O28" s="29"/>
      <c r="P28" s="141"/>
      <c r="Q28" s="141"/>
      <c r="R28" s="141"/>
      <c r="S28" s="141"/>
      <c r="T28" s="141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</row>
    <row r="29" spans="1:34" ht="12.75">
      <c r="A29" s="29" t="s">
        <v>29</v>
      </c>
      <c r="B29" s="29"/>
      <c r="C29" s="29"/>
      <c r="D29" s="9" t="s">
        <v>33</v>
      </c>
      <c r="E29" s="22">
        <v>6.11499611E-08</v>
      </c>
      <c r="F29" s="89"/>
      <c r="G29" s="29" t="s">
        <v>63</v>
      </c>
      <c r="H29" s="29"/>
      <c r="I29" s="29"/>
      <c r="J29" s="29"/>
      <c r="K29" s="29"/>
      <c r="L29" s="29"/>
      <c r="M29" s="29"/>
      <c r="N29" s="29"/>
      <c r="O29" s="29"/>
      <c r="P29" s="141"/>
      <c r="Q29" s="141"/>
      <c r="R29" s="141"/>
      <c r="S29" s="141"/>
      <c r="T29" s="141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</row>
    <row r="30" spans="1:34" ht="13.5" thickBot="1">
      <c r="A30" s="29" t="s">
        <v>30</v>
      </c>
      <c r="B30" s="29"/>
      <c r="C30" s="29"/>
      <c r="D30" s="10" t="s">
        <v>34</v>
      </c>
      <c r="E30" s="23">
        <v>-9.12975913E-11</v>
      </c>
      <c r="F30" s="90"/>
      <c r="G30" s="33"/>
      <c r="H30" s="29"/>
      <c r="I30" s="29"/>
      <c r="J30" s="29"/>
      <c r="K30" s="29"/>
      <c r="L30" s="29"/>
      <c r="M30" s="29"/>
      <c r="N30" s="29"/>
      <c r="O30" s="29"/>
      <c r="P30" s="141"/>
      <c r="Q30" s="141"/>
      <c r="R30" s="141"/>
      <c r="S30" s="141"/>
      <c r="T30" s="141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</row>
    <row r="31" spans="1:34" ht="13.5" thickTop="1">
      <c r="A31" s="27" t="s">
        <v>51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141"/>
      <c r="Q31" s="141"/>
      <c r="R31" s="141"/>
      <c r="S31" s="141"/>
      <c r="T31" s="141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</row>
    <row r="32" spans="1:34" ht="12.75">
      <c r="A32" s="29" t="s">
        <v>25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141"/>
      <c r="Q32" s="141"/>
      <c r="R32" s="141"/>
      <c r="S32" s="141"/>
      <c r="T32" s="141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</row>
    <row r="33" spans="1:34" ht="13.5" thickBot="1">
      <c r="A33" s="29" t="s">
        <v>26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141"/>
      <c r="Q33" s="141"/>
      <c r="R33" s="141"/>
      <c r="S33" s="141"/>
      <c r="T33" s="141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</row>
    <row r="34" spans="1:34" ht="15" thickTop="1">
      <c r="A34" s="29" t="s">
        <v>52</v>
      </c>
      <c r="B34" s="29"/>
      <c r="C34" s="29"/>
      <c r="D34" s="8" t="s">
        <v>53</v>
      </c>
      <c r="E34" s="20">
        <v>-0.000538424926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141"/>
      <c r="Q34" s="141"/>
      <c r="R34" s="141"/>
      <c r="S34" s="141"/>
      <c r="T34" s="141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</row>
    <row r="35" spans="1:34" ht="12.75">
      <c r="A35" s="29"/>
      <c r="B35" s="29"/>
      <c r="C35" s="29"/>
      <c r="D35" s="9" t="s">
        <v>54</v>
      </c>
      <c r="E35" s="21">
        <v>49.9717841</v>
      </c>
      <c r="F35" s="29"/>
      <c r="G35" s="29" t="s">
        <v>62</v>
      </c>
      <c r="H35" s="29"/>
      <c r="I35" s="29"/>
      <c r="J35" s="29"/>
      <c r="K35" s="29"/>
      <c r="L35" s="29"/>
      <c r="M35" s="29"/>
      <c r="N35" s="29"/>
      <c r="O35" s="29"/>
      <c r="P35" s="141"/>
      <c r="Q35" s="141"/>
      <c r="R35" s="141"/>
      <c r="S35" s="141"/>
      <c r="T35" s="141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</row>
    <row r="36" spans="1:34" ht="12.75">
      <c r="A36" s="29"/>
      <c r="B36" s="29"/>
      <c r="C36" s="29"/>
      <c r="D36" s="9" t="s">
        <v>55</v>
      </c>
      <c r="E36" s="22">
        <v>-0.00762867581</v>
      </c>
      <c r="F36" s="29"/>
      <c r="G36" s="29" t="s">
        <v>63</v>
      </c>
      <c r="H36" s="29"/>
      <c r="I36" s="29"/>
      <c r="J36" s="29"/>
      <c r="K36" s="29"/>
      <c r="L36" s="29"/>
      <c r="M36" s="29"/>
      <c r="N36" s="29"/>
      <c r="O36" s="29"/>
      <c r="P36" s="141"/>
      <c r="Q36" s="141"/>
      <c r="R36" s="141"/>
      <c r="S36" s="141"/>
      <c r="T36" s="141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</row>
    <row r="37" spans="1:34" ht="13.5" thickBot="1">
      <c r="A37" s="29"/>
      <c r="B37" s="29"/>
      <c r="C37" s="29"/>
      <c r="D37" s="10" t="s">
        <v>56</v>
      </c>
      <c r="E37" s="23">
        <v>0.000570040202</v>
      </c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141"/>
      <c r="Q37" s="141"/>
      <c r="R37" s="141"/>
      <c r="S37" s="141"/>
      <c r="T37" s="141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</row>
    <row r="38" spans="1:34" ht="13.5" thickTop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141"/>
      <c r="Q38" s="141"/>
      <c r="R38" s="141"/>
      <c r="S38" s="141"/>
      <c r="T38" s="141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</row>
    <row r="39" spans="1:34" ht="12.75">
      <c r="A39" s="29"/>
      <c r="B39" s="29"/>
      <c r="C39" s="29"/>
      <c r="D39" s="34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141"/>
      <c r="Q39" s="141"/>
      <c r="R39" s="141"/>
      <c r="S39" s="141"/>
      <c r="T39" s="141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</row>
    <row r="40" spans="1:34" ht="12.75">
      <c r="A40" s="27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141"/>
      <c r="Q40" s="141"/>
      <c r="R40" s="141"/>
      <c r="S40" s="141"/>
      <c r="T40" s="141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</row>
    <row r="41" spans="1:34" ht="12.7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141"/>
      <c r="Q41" s="141"/>
      <c r="R41" s="141"/>
      <c r="S41" s="141"/>
      <c r="T41" s="141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</row>
    <row r="42" spans="1:34" ht="12.75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41"/>
      <c r="Q42" s="141"/>
      <c r="R42" s="141"/>
      <c r="S42" s="141"/>
      <c r="T42" s="141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</row>
    <row r="43" spans="1:34" ht="12.75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41"/>
      <c r="Q43" s="141"/>
      <c r="R43" s="141"/>
      <c r="S43" s="141"/>
      <c r="T43" s="141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</row>
    <row r="44" spans="1:34" ht="12.75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41"/>
      <c r="Q44" s="141"/>
      <c r="R44" s="141"/>
      <c r="S44" s="141"/>
      <c r="T44" s="141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</row>
    <row r="45" spans="1:34" ht="12.75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41"/>
      <c r="Q45" s="141"/>
      <c r="R45" s="141"/>
      <c r="S45" s="141"/>
      <c r="T45" s="141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</row>
    <row r="46" spans="1:34" ht="12.75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41"/>
      <c r="Q46" s="141"/>
      <c r="R46" s="141"/>
      <c r="S46" s="141"/>
      <c r="T46" s="141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</row>
    <row r="47" spans="1:34" ht="12.75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41"/>
      <c r="Q47" s="141"/>
      <c r="R47" s="141"/>
      <c r="S47" s="141"/>
      <c r="T47" s="141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</row>
    <row r="48" spans="1:34" ht="12.75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41"/>
      <c r="Q48" s="141"/>
      <c r="R48" s="141"/>
      <c r="S48" s="141"/>
      <c r="T48" s="141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</row>
    <row r="49" spans="1:34" ht="12.75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41"/>
      <c r="Q49" s="141"/>
      <c r="R49" s="141"/>
      <c r="S49" s="141"/>
      <c r="T49" s="141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</row>
    <row r="50" spans="1:34" ht="12.75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41"/>
      <c r="Q50" s="141"/>
      <c r="R50" s="141"/>
      <c r="S50" s="141"/>
      <c r="T50" s="141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</row>
    <row r="51" spans="1:34" ht="12.75">
      <c r="A51" s="130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41"/>
      <c r="Q51" s="141"/>
      <c r="R51" s="141"/>
      <c r="S51" s="141"/>
      <c r="T51" s="141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</row>
    <row r="52" spans="1:34" ht="12.75">
      <c r="A52" s="130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41"/>
      <c r="Q52" s="141"/>
      <c r="R52" s="141"/>
      <c r="S52" s="141"/>
      <c r="T52" s="141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</row>
    <row r="53" spans="1:34" ht="12.75">
      <c r="A53" s="130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41"/>
      <c r="Q53" s="141"/>
      <c r="R53" s="141"/>
      <c r="S53" s="141"/>
      <c r="T53" s="141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</row>
    <row r="54" spans="1:34" ht="12.75">
      <c r="A54" s="130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41"/>
      <c r="Q54" s="141"/>
      <c r="R54" s="141"/>
      <c r="S54" s="141"/>
      <c r="T54" s="141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</row>
    <row r="55" spans="1:34" ht="12.75">
      <c r="A55" s="130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41"/>
      <c r="Q55" s="141"/>
      <c r="R55" s="141"/>
      <c r="S55" s="141"/>
      <c r="T55" s="141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</row>
    <row r="56" spans="1:34" ht="12.75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41"/>
      <c r="Q56" s="141"/>
      <c r="R56" s="141"/>
      <c r="S56" s="141"/>
      <c r="T56" s="141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</row>
    <row r="57" spans="1:34" ht="12.75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41"/>
      <c r="Q57" s="141"/>
      <c r="R57" s="141"/>
      <c r="S57" s="141"/>
      <c r="T57" s="141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</row>
    <row r="58" spans="1:34" ht="12.75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41"/>
      <c r="Q58" s="141"/>
      <c r="R58" s="141"/>
      <c r="S58" s="141"/>
      <c r="T58" s="141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</row>
    <row r="59" spans="1:34" ht="12.75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41"/>
      <c r="Q59" s="141"/>
      <c r="R59" s="141"/>
      <c r="S59" s="141"/>
      <c r="T59" s="141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</row>
    <row r="60" spans="1:34" ht="12.75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41"/>
      <c r="Q60" s="141"/>
      <c r="R60" s="141"/>
      <c r="S60" s="141"/>
      <c r="T60" s="141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</row>
    <row r="61" spans="1:34" ht="12.75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41"/>
      <c r="Q61" s="141"/>
      <c r="R61" s="141"/>
      <c r="S61" s="141"/>
      <c r="T61" s="141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</row>
    <row r="62" spans="1:34" ht="12.75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41"/>
      <c r="Q62" s="141"/>
      <c r="R62" s="141"/>
      <c r="S62" s="141"/>
      <c r="T62" s="141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</row>
    <row r="63" spans="1:34" ht="12.75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41"/>
      <c r="Q63" s="141"/>
      <c r="R63" s="141"/>
      <c r="S63" s="141"/>
      <c r="T63" s="141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</row>
    <row r="64" spans="1:34" ht="12.75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41"/>
      <c r="Q64" s="141"/>
      <c r="R64" s="141"/>
      <c r="S64" s="141"/>
      <c r="T64" s="141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</row>
    <row r="65" spans="1:34" ht="12.75">
      <c r="A65" s="130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41"/>
      <c r="Q65" s="141"/>
      <c r="R65" s="141"/>
      <c r="S65" s="141"/>
      <c r="T65" s="141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</row>
    <row r="66" spans="1:34" ht="12.75">
      <c r="A66" s="130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41"/>
      <c r="Q66" s="141"/>
      <c r="R66" s="141"/>
      <c r="S66" s="141"/>
      <c r="T66" s="141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</row>
    <row r="67" spans="1:34" ht="12.75">
      <c r="A67" s="130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41"/>
      <c r="Q67" s="141"/>
      <c r="R67" s="141"/>
      <c r="S67" s="141"/>
      <c r="T67" s="141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</row>
    <row r="68" spans="1:34" ht="12.75">
      <c r="A68" s="130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41"/>
      <c r="Q68" s="141"/>
      <c r="R68" s="141"/>
      <c r="S68" s="141"/>
      <c r="T68" s="141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</row>
    <row r="69" spans="1:34" ht="12.75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41"/>
      <c r="Q69" s="141"/>
      <c r="R69" s="141"/>
      <c r="S69" s="141"/>
      <c r="T69" s="141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</row>
    <row r="70" spans="1:34" ht="12.75">
      <c r="A70" s="130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41"/>
      <c r="Q70" s="141"/>
      <c r="R70" s="141"/>
      <c r="S70" s="141"/>
      <c r="T70" s="141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</row>
    <row r="71" spans="1:34" ht="12.75">
      <c r="A71" s="130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41"/>
      <c r="Q71" s="141"/>
      <c r="R71" s="141"/>
      <c r="S71" s="141"/>
      <c r="T71" s="141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</row>
    <row r="72" spans="1:34" ht="12.75">
      <c r="A72" s="130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41"/>
      <c r="Q72" s="141"/>
      <c r="R72" s="141"/>
      <c r="S72" s="141"/>
      <c r="T72" s="141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</row>
    <row r="73" spans="1:34" ht="12.75">
      <c r="A73" s="130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41"/>
      <c r="Q73" s="141"/>
      <c r="R73" s="141"/>
      <c r="S73" s="141"/>
      <c r="T73" s="141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</row>
    <row r="74" spans="1:34" ht="12.75">
      <c r="A74" s="130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41"/>
      <c r="Q74" s="141"/>
      <c r="R74" s="141"/>
      <c r="S74" s="141"/>
      <c r="T74" s="141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</row>
    <row r="75" spans="1:34" ht="12.75">
      <c r="A75" s="130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41"/>
      <c r="Q75" s="141"/>
      <c r="R75" s="141"/>
      <c r="S75" s="141"/>
      <c r="T75" s="141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</row>
    <row r="76" spans="1:34" ht="12.75">
      <c r="A76" s="130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41"/>
      <c r="Q76" s="141"/>
      <c r="R76" s="141"/>
      <c r="S76" s="141"/>
      <c r="T76" s="141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</row>
    <row r="77" spans="1:34" ht="12.75">
      <c r="A77" s="130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41"/>
      <c r="Q77" s="141"/>
      <c r="R77" s="141"/>
      <c r="S77" s="141"/>
      <c r="T77" s="141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</row>
    <row r="78" spans="1:34" ht="12.75">
      <c r="A78" s="130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41"/>
      <c r="Q78" s="141"/>
      <c r="R78" s="141"/>
      <c r="S78" s="141"/>
      <c r="T78" s="141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</row>
    <row r="79" spans="1:34" ht="12.75">
      <c r="A79" s="130"/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41"/>
      <c r="Q79" s="141"/>
      <c r="R79" s="141"/>
      <c r="S79" s="141"/>
      <c r="T79" s="141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</row>
  </sheetData>
  <sheetProtection sheet="1" objects="1" scenarios="1"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9"/>
  <sheetViews>
    <sheetView zoomScale="75" zoomScaleNormal="75" workbookViewId="0" topLeftCell="A1">
      <selection activeCell="D16" sqref="D16"/>
    </sheetView>
  </sheetViews>
  <sheetFormatPr defaultColWidth="11.421875" defaultRowHeight="12.75"/>
  <cols>
    <col min="2" max="2" width="11.57421875" style="0" bestFit="1" customWidth="1"/>
    <col min="3" max="3" width="15.00390625" style="0" bestFit="1" customWidth="1"/>
    <col min="6" max="6" width="14.421875" style="0" customWidth="1"/>
    <col min="7" max="7" width="11.57421875" style="0" bestFit="1" customWidth="1"/>
  </cols>
  <sheetData>
    <row r="1" spans="1:20" ht="12.75">
      <c r="A1" s="29"/>
      <c r="B1" s="150" t="s">
        <v>116</v>
      </c>
      <c r="C1" s="151" t="s">
        <v>35</v>
      </c>
      <c r="D1" s="29"/>
      <c r="E1" s="29"/>
      <c r="F1" s="29"/>
      <c r="G1" s="29"/>
      <c r="H1" s="29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ht="12.75">
      <c r="A2" s="29"/>
      <c r="B2" s="152">
        <f>informe1!A13</f>
        <v>10</v>
      </c>
      <c r="C2" s="29">
        <f>informe1!$E$27+informe1!$E$28*informe1!A13+informe1!$E$29*informe1!A13^2+informe1!$E$30*informe1!A13^3</f>
        <v>0.20012972447631872</v>
      </c>
      <c r="D2" s="29"/>
      <c r="E2" s="29"/>
      <c r="F2" s="29"/>
      <c r="G2" s="29"/>
      <c r="H2" s="29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</row>
    <row r="3" spans="1:20" ht="12.75">
      <c r="A3" s="29"/>
      <c r="B3" s="152">
        <f>informe1!A14</f>
        <v>20</v>
      </c>
      <c r="C3" s="29">
        <f>informe1!$E$27+informe1!$E$28*informe1!A14+informe1!$E$29*informe1!A14^2+informe1!$E$30*informe1!A14^3</f>
        <v>0.4002603533815096</v>
      </c>
      <c r="D3" s="29"/>
      <c r="E3" s="29"/>
      <c r="F3" s="29"/>
      <c r="G3" s="29"/>
      <c r="H3" s="29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</row>
    <row r="4" spans="1:20" ht="12.75">
      <c r="A4" s="29"/>
      <c r="B4" s="152">
        <f>informe1!A15</f>
        <v>30</v>
      </c>
      <c r="C4" s="29">
        <f>informe1!$E$27+informe1!$E$28*informe1!A15+informe1!$E$29*informe1!A15^2+informe1!$E$30*informe1!A15^3</f>
        <v>0.600402116707825</v>
      </c>
      <c r="D4" s="29"/>
      <c r="E4" s="29"/>
      <c r="F4" s="29"/>
      <c r="G4" s="29"/>
      <c r="H4" s="29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</row>
    <row r="5" spans="1:20" ht="12.75">
      <c r="A5" s="29"/>
      <c r="B5" s="152">
        <f>informe1!A16</f>
        <v>40</v>
      </c>
      <c r="C5" s="29">
        <f>informe1!$E$27+informe1!$E$28*informe1!A16+informe1!$E$29*informe1!A16^2+informe1!$E$30*informe1!A16^3</f>
        <v>0.8005544666697169</v>
      </c>
      <c r="D5" s="29"/>
      <c r="E5" s="29"/>
      <c r="F5" s="29"/>
      <c r="G5" s="29"/>
      <c r="H5" s="29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</row>
    <row r="6" spans="1:20" ht="12.75">
      <c r="A6" s="29"/>
      <c r="B6" s="152">
        <f>informe1!A17</f>
        <v>50</v>
      </c>
      <c r="C6" s="29">
        <f>informe1!$E$27+informe1!$E$28*informe1!A17+informe1!$E$29*informe1!A17^2+informe1!$E$30*informe1!A17^3</f>
        <v>1.0007168554816375</v>
      </c>
      <c r="D6" s="29"/>
      <c r="E6" s="29"/>
      <c r="F6" s="29"/>
      <c r="G6" s="29"/>
      <c r="H6" s="29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</row>
    <row r="7" spans="1:20" ht="12.75">
      <c r="A7" s="29"/>
      <c r="B7" s="152">
        <f>informe1!A18</f>
        <v>60</v>
      </c>
      <c r="C7" s="29">
        <f>informe1!$E$27+informe1!$E$28*informe1!A18+informe1!$E$29*informe1!A18^2+informe1!$E$30*informe1!A18^3</f>
        <v>1.2008887353580393</v>
      </c>
      <c r="D7" s="29"/>
      <c r="E7" s="29"/>
      <c r="F7" s="29"/>
      <c r="G7" s="29"/>
      <c r="H7" s="29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</row>
    <row r="8" spans="1:20" ht="12.75">
      <c r="A8" s="29"/>
      <c r="B8" s="152">
        <f>informe1!A19</f>
        <v>70</v>
      </c>
      <c r="C8" s="29">
        <f>informe1!$E$27+informe1!$E$28*informe1!A19+informe1!$E$29*informe1!A19^2+informe1!$E$30*informe1!A19^3</f>
        <v>1.4010695585133741</v>
      </c>
      <c r="D8" s="29"/>
      <c r="E8" s="29"/>
      <c r="F8" s="29"/>
      <c r="G8" s="29"/>
      <c r="H8" s="29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</row>
    <row r="9" spans="1:20" ht="12.75">
      <c r="A9" s="29"/>
      <c r="B9" s="152">
        <f>informe1!A20</f>
        <v>80</v>
      </c>
      <c r="C9" s="29">
        <f>informe1!$E$27+informe1!$E$28*informe1!A20+informe1!$E$29*informe1!A20^2+informe1!$E$30*informe1!A20^3</f>
        <v>1.6012587771620945</v>
      </c>
      <c r="D9" s="29"/>
      <c r="E9" s="29"/>
      <c r="F9" s="29"/>
      <c r="G9" s="29"/>
      <c r="H9" s="29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</row>
    <row r="10" spans="1:20" ht="12.75">
      <c r="A10" s="29"/>
      <c r="B10" s="152">
        <f>informe1!A21</f>
        <v>90</v>
      </c>
      <c r="C10" s="29">
        <f>informe1!$E$27+informe1!$E$28*informe1!A21+informe1!$E$29*informe1!A21^2+informe1!$E$30*informe1!A21^3</f>
        <v>1.8014558435186523</v>
      </c>
      <c r="D10" s="29"/>
      <c r="E10" s="29"/>
      <c r="F10" s="29"/>
      <c r="G10" s="29"/>
      <c r="H10" s="29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</row>
    <row r="11" spans="1:20" ht="12.75">
      <c r="A11" s="29"/>
      <c r="B11" s="152">
        <f>informe1!A22</f>
        <v>100</v>
      </c>
      <c r="C11" s="29">
        <f>informe1!$E$27+informe1!$E$28*informe1!A22+informe1!$E$29*informe1!A22^2+informe1!$E$30*informe1!A22^3</f>
        <v>2.0016602097975</v>
      </c>
      <c r="D11" s="29"/>
      <c r="E11" s="29"/>
      <c r="F11" s="29"/>
      <c r="G11" s="29"/>
      <c r="H11" s="29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</row>
    <row r="12" spans="1:20" ht="12.75">
      <c r="A12" s="29"/>
      <c r="B12" s="155" t="s">
        <v>24</v>
      </c>
      <c r="C12" s="29"/>
      <c r="D12" s="29"/>
      <c r="E12" s="29"/>
      <c r="F12" s="155" t="s">
        <v>117</v>
      </c>
      <c r="G12" s="29"/>
      <c r="H12" s="29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</row>
    <row r="13" spans="1:20" ht="15" thickBot="1">
      <c r="A13" s="29"/>
      <c r="B13" s="35" t="s">
        <v>118</v>
      </c>
      <c r="C13" s="29"/>
      <c r="D13" s="29"/>
      <c r="E13" s="29"/>
      <c r="F13" s="35" t="s">
        <v>119</v>
      </c>
      <c r="G13" s="29"/>
      <c r="H13" s="29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</row>
    <row r="14" spans="1:20" ht="46.5" customHeight="1">
      <c r="A14" s="29"/>
      <c r="B14" s="24" t="s">
        <v>103</v>
      </c>
      <c r="C14" s="24" t="s">
        <v>57</v>
      </c>
      <c r="D14" s="29"/>
      <c r="E14" s="29"/>
      <c r="F14" s="24" t="s">
        <v>104</v>
      </c>
      <c r="G14" s="24" t="s">
        <v>58</v>
      </c>
      <c r="H14" s="29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</row>
    <row r="15" spans="1:20" ht="12.75">
      <c r="A15" s="29"/>
      <c r="B15" s="153">
        <v>10</v>
      </c>
      <c r="C15" s="39">
        <f>informe1!$E$27+informe1!$E$28*B15+informe1!$E$29*B15^2+informe1!$E$30*B15^3</f>
        <v>0.20012972447631872</v>
      </c>
      <c r="D15" s="29"/>
      <c r="E15" s="29"/>
      <c r="F15" s="102">
        <v>0.34562345</v>
      </c>
      <c r="G15" s="39">
        <f>informe1!$E$34+informe1!$E$35*'calculos auxiliar'!F15+informe1!$E$36*'calculos auxiliar'!F15^2+informe1!$E$37*'calculos auxiliar'!F15^3</f>
        <v>17.26999424560809</v>
      </c>
      <c r="H15" s="29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</row>
    <row r="16" spans="1:20" ht="12.75">
      <c r="A16" s="29"/>
      <c r="B16" s="154">
        <v>20</v>
      </c>
      <c r="C16" s="39">
        <f>informe1!$E$27+informe1!$E$28*B16+informe1!$E$29*B16^2+informe1!$E$30*B16^3</f>
        <v>0.4002603533815096</v>
      </c>
      <c r="D16" s="29"/>
      <c r="E16" s="29"/>
      <c r="F16" s="102">
        <v>0.8</v>
      </c>
      <c r="G16" s="39">
        <f>informe1!$E$34+informe1!$E$35*'calculos auxiliar'!F16+informe1!$E$36*'calculos auxiliar'!F16^2+informe1!$E$37*'calculos auxiliar'!F16^3</f>
        <v>39.972298363139025</v>
      </c>
      <c r="H16" s="29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</row>
    <row r="17" spans="1:20" ht="12.75">
      <c r="A17" s="29"/>
      <c r="B17" s="154">
        <v>25</v>
      </c>
      <c r="C17" s="39">
        <f>informe1!$E$27+informe1!$E$28*B17+informe1!$E$29*B17^2+informe1!$E$30*B17^3</f>
        <v>0.5003298774786236</v>
      </c>
      <c r="D17" s="29"/>
      <c r="E17" s="29"/>
      <c r="F17" s="102"/>
      <c r="G17" s="39">
        <f>informe1!$E$34+informe1!$E$35*'calculos auxiliar'!F17+informe1!$E$36*'calculos auxiliar'!F17^2+informe1!$E$37*'calculos auxiliar'!F17^3</f>
        <v>-0.000538424926</v>
      </c>
      <c r="H17" s="29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</row>
    <row r="18" spans="1:20" ht="12.75">
      <c r="A18" s="29"/>
      <c r="B18" s="154"/>
      <c r="C18" s="39">
        <f>informe1!$E$27+informe1!$E$28*B18+informe1!$E$29*B18^2+informe1!$E$30*B18^3</f>
        <v>1.07777778E-05</v>
      </c>
      <c r="D18" s="29"/>
      <c r="E18" s="29"/>
      <c r="F18" s="102"/>
      <c r="G18" s="39">
        <f>informe1!$E$34+informe1!$E$35*'calculos auxiliar'!F18+informe1!$E$36*'calculos auxiliar'!F18^2+informe1!$E$37*'calculos auxiliar'!F18^3</f>
        <v>-0.000538424926</v>
      </c>
      <c r="H18" s="29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</row>
    <row r="19" spans="1:20" ht="12.75">
      <c r="A19" s="29"/>
      <c r="B19" s="154"/>
      <c r="C19" s="39">
        <f>informe1!$E$27+informe1!$E$28*B19+informe1!$E$29*B19^2+informe1!$E$30*B19^3</f>
        <v>1.07777778E-05</v>
      </c>
      <c r="D19" s="29"/>
      <c r="E19" s="29"/>
      <c r="F19" s="102"/>
      <c r="G19" s="39">
        <f>informe1!$E$34+informe1!$E$35*'calculos auxiliar'!F19+informe1!$E$36*'calculos auxiliar'!F19^2+informe1!$E$37*'calculos auxiliar'!F19^3</f>
        <v>-0.000538424926</v>
      </c>
      <c r="H19" s="29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</row>
    <row r="20" spans="1:20" ht="12.75">
      <c r="A20" s="29"/>
      <c r="B20" s="154"/>
      <c r="C20" s="39">
        <f>informe1!$E$27+informe1!$E$28*B20+informe1!$E$29*B20^2+informe1!$E$30*B20^3</f>
        <v>1.07777778E-05</v>
      </c>
      <c r="D20" s="29"/>
      <c r="E20" s="29"/>
      <c r="F20" s="102"/>
      <c r="G20" s="39">
        <f>informe1!$E$34+informe1!$E$35*'calculos auxiliar'!F20+informe1!$E$36*'calculos auxiliar'!F20^2+informe1!$E$37*'calculos auxiliar'!F20^3</f>
        <v>-0.000538424926</v>
      </c>
      <c r="H20" s="29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</row>
    <row r="21" spans="1:20" ht="12.75">
      <c r="A21" s="29"/>
      <c r="B21" s="154"/>
      <c r="C21" s="39">
        <f>informe1!$E$27+informe1!$E$28*B21+informe1!$E$29*B21^2+informe1!$E$30*B21^3</f>
        <v>1.07777778E-05</v>
      </c>
      <c r="D21" s="29"/>
      <c r="E21" s="29"/>
      <c r="F21" s="102"/>
      <c r="G21" s="39">
        <f>informe1!$E$34+informe1!$E$35*'calculos auxiliar'!F21+informe1!$E$36*'calculos auxiliar'!F21^2+informe1!$E$37*'calculos auxiliar'!F21^3</f>
        <v>-0.000538424926</v>
      </c>
      <c r="H21" s="29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</row>
    <row r="22" spans="1:20" ht="12.75">
      <c r="A22" s="29"/>
      <c r="B22" s="154"/>
      <c r="C22" s="39">
        <f>informe1!$E$27+informe1!$E$28*B22+informe1!$E$29*B22^2+informe1!$E$30*B22^3</f>
        <v>1.07777778E-05</v>
      </c>
      <c r="D22" s="29"/>
      <c r="E22" s="29"/>
      <c r="F22" s="102"/>
      <c r="G22" s="39">
        <f>informe1!$E$34+informe1!$E$35*'calculos auxiliar'!F22+informe1!$E$36*'calculos auxiliar'!F22^2+informe1!$E$37*'calculos auxiliar'!F22^3</f>
        <v>-0.000538424926</v>
      </c>
      <c r="H22" s="29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</row>
    <row r="23" spans="1:20" ht="12.75">
      <c r="A23" s="29"/>
      <c r="B23" s="154">
        <v>90</v>
      </c>
      <c r="C23" s="39">
        <f>informe1!$E$27+informe1!$E$28*B23+informe1!$E$29*B23^2+informe1!$E$30*B23^3</f>
        <v>1.8014558435186523</v>
      </c>
      <c r="D23" s="29"/>
      <c r="E23" s="29"/>
      <c r="F23" s="102"/>
      <c r="G23" s="39">
        <f>informe1!$E$34+informe1!$E$35*'calculos auxiliar'!F23+informe1!$E$36*'calculos auxiliar'!F23^2+informe1!$E$37*'calculos auxiliar'!F23^3</f>
        <v>-0.000538424926</v>
      </c>
      <c r="H23" s="29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</row>
    <row r="24" spans="1:20" ht="12.75">
      <c r="A24" s="29"/>
      <c r="B24" s="154">
        <v>100</v>
      </c>
      <c r="C24" s="39">
        <f>informe1!$E$27+informe1!$E$28*B24+informe1!$E$29*B24^2+informe1!$E$30*B24^3</f>
        <v>2.0016602097975</v>
      </c>
      <c r="D24" s="29"/>
      <c r="E24" s="29"/>
      <c r="F24" s="102">
        <v>2</v>
      </c>
      <c r="G24" s="39">
        <f>informe1!$E$34+informe1!$E$35*'calculos auxiliar'!F24+informe1!$E$36*'calculos auxiliar'!F24^2+informe1!$E$37*'calculos auxiliar'!F24^3</f>
        <v>99.91707539344999</v>
      </c>
      <c r="H24" s="29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</row>
    <row r="25" spans="1:36" ht="12.75">
      <c r="A25" s="29"/>
      <c r="B25" s="29"/>
      <c r="C25" s="29"/>
      <c r="D25" s="29"/>
      <c r="E25" s="29"/>
      <c r="F25" s="29"/>
      <c r="G25" s="29"/>
      <c r="H25" s="29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</row>
    <row r="26" spans="1:36" ht="12.75">
      <c r="A26" s="29"/>
      <c r="B26" s="29"/>
      <c r="C26" s="29"/>
      <c r="D26" s="29"/>
      <c r="E26" s="29"/>
      <c r="F26" s="29"/>
      <c r="G26" s="29"/>
      <c r="H26" s="29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</row>
    <row r="27" spans="1:36" ht="12.75">
      <c r="A27" s="29"/>
      <c r="B27" s="29"/>
      <c r="C27" s="29"/>
      <c r="D27" s="29"/>
      <c r="E27" s="29"/>
      <c r="F27" s="29"/>
      <c r="G27" s="29"/>
      <c r="H27" s="29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</row>
    <row r="28" spans="1:36" ht="12.75">
      <c r="A28" s="29"/>
      <c r="B28" s="29"/>
      <c r="C28" s="29"/>
      <c r="D28" s="29"/>
      <c r="E28" s="29"/>
      <c r="F28" s="29"/>
      <c r="G28" s="29"/>
      <c r="H28" s="29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</row>
    <row r="29" spans="1:36" ht="12.75">
      <c r="A29" s="29"/>
      <c r="B29" s="29"/>
      <c r="C29" s="29"/>
      <c r="D29" s="29"/>
      <c r="E29" s="29"/>
      <c r="F29" s="29"/>
      <c r="G29" s="29"/>
      <c r="H29" s="29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</row>
    <row r="30" spans="1:36" ht="12.75">
      <c r="A30" s="29"/>
      <c r="B30" s="29"/>
      <c r="C30" s="29"/>
      <c r="D30" s="29"/>
      <c r="E30" s="29"/>
      <c r="F30" s="29"/>
      <c r="G30" s="29"/>
      <c r="H30" s="29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</row>
    <row r="31" spans="1:36" ht="12.75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</row>
    <row r="32" spans="1:36" ht="12.75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</row>
    <row r="33" spans="1:36" ht="12.75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</row>
    <row r="34" spans="1:36" ht="12.75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</row>
    <row r="35" spans="1:36" ht="12.75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</row>
    <row r="36" spans="1:36" ht="12.75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</row>
    <row r="37" spans="1:20" ht="12.75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</row>
    <row r="38" spans="1:20" ht="12.75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</row>
    <row r="39" spans="1:20" ht="12.75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</row>
    <row r="40" spans="1:20" ht="12.75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</row>
    <row r="41" spans="1:20" ht="12.75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</row>
    <row r="42" spans="1:20" ht="12.75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</row>
    <row r="43" spans="1:20" ht="12.75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</row>
    <row r="44" spans="1:20" ht="12.75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</row>
    <row r="45" spans="1:20" ht="12.75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</row>
    <row r="46" spans="1:20" ht="12.75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</row>
    <row r="47" spans="1:20" ht="12.75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</row>
    <row r="48" spans="1:20" ht="12.75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</row>
    <row r="49" spans="1:20" ht="12.75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</row>
  </sheetData>
  <sheetProtection sheet="1" objects="1" scenarios="1"/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52"/>
  <sheetViews>
    <sheetView zoomScale="80" zoomScaleNormal="80" workbookViewId="0" topLeftCell="A1">
      <selection activeCell="I24" sqref="I24"/>
    </sheetView>
  </sheetViews>
  <sheetFormatPr defaultColWidth="11.421875" defaultRowHeight="12.75"/>
  <cols>
    <col min="2" max="2" width="7.421875" style="0" customWidth="1"/>
    <col min="3" max="3" width="9.421875" style="0" customWidth="1"/>
    <col min="4" max="4" width="11.8515625" style="0" customWidth="1"/>
    <col min="5" max="6" width="7.8515625" style="0" customWidth="1"/>
    <col min="7" max="7" width="8.7109375" style="0" customWidth="1"/>
    <col min="8" max="8" width="8.421875" style="0" customWidth="1"/>
    <col min="9" max="9" width="17.140625" style="0" customWidth="1"/>
    <col min="10" max="10" width="16.28125" style="0" customWidth="1"/>
    <col min="11" max="11" width="12.00390625" style="0" customWidth="1"/>
    <col min="12" max="12" width="16.28125" style="0" customWidth="1"/>
    <col min="13" max="13" width="12.7109375" style="0" customWidth="1"/>
    <col min="14" max="14" width="12.28125" style="0" customWidth="1"/>
    <col min="15" max="15" width="11.140625" style="0" customWidth="1"/>
    <col min="18" max="18" width="9.57421875" style="0" customWidth="1"/>
    <col min="20" max="20" width="12.140625" style="0" customWidth="1"/>
    <col min="21" max="21" width="10.8515625" style="0" customWidth="1"/>
    <col min="24" max="24" width="11.57421875" style="0" bestFit="1" customWidth="1"/>
    <col min="25" max="25" width="14.00390625" style="0" customWidth="1"/>
    <col min="26" max="26" width="11.57421875" style="0" bestFit="1" customWidth="1"/>
  </cols>
  <sheetData>
    <row r="1" spans="1:36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130"/>
      <c r="AC1" s="130"/>
      <c r="AD1" s="130"/>
      <c r="AE1" s="130"/>
      <c r="AF1" s="130"/>
      <c r="AG1" s="130"/>
      <c r="AH1" s="130"/>
      <c r="AI1" s="130"/>
      <c r="AJ1" s="130"/>
    </row>
    <row r="2" spans="1:36" ht="12.75">
      <c r="A2" s="29"/>
      <c r="B2" s="29"/>
      <c r="C2" s="87" t="s">
        <v>105</v>
      </c>
      <c r="D2" s="29"/>
      <c r="E2" s="29"/>
      <c r="F2" s="29"/>
      <c r="G2" s="29"/>
      <c r="H2" s="103" t="s">
        <v>106</v>
      </c>
      <c r="I2" s="29"/>
      <c r="J2" s="29"/>
      <c r="K2" s="129">
        <v>0.001</v>
      </c>
      <c r="L2" s="29" t="str">
        <f>IF(E3=2,"mV/V","KN equivalente a :")</f>
        <v>KN equivalente a :</v>
      </c>
      <c r="M2" s="86">
        <f>IF(E3=2,"",K2*informe1!B22/informe1!A22)</f>
        <v>2.0016566666666667E-05</v>
      </c>
      <c r="N2" s="29" t="str">
        <f>IF(E3=2,"","mV/V")</f>
        <v>mV/V</v>
      </c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130"/>
      <c r="AC2" s="130"/>
      <c r="AD2" s="130"/>
      <c r="AE2" s="130"/>
      <c r="AF2" s="130"/>
      <c r="AG2" s="130"/>
      <c r="AH2" s="130"/>
      <c r="AI2" s="130"/>
      <c r="AJ2" s="130"/>
    </row>
    <row r="3" spans="1:36" ht="12.75">
      <c r="A3" s="29"/>
      <c r="B3" s="29"/>
      <c r="C3" s="87" t="s">
        <v>89</v>
      </c>
      <c r="D3" s="29"/>
      <c r="E3" s="72">
        <v>1</v>
      </c>
      <c r="F3" s="29"/>
      <c r="G3" s="29"/>
      <c r="H3" s="29"/>
      <c r="I3" s="29"/>
      <c r="J3" s="29"/>
      <c r="K3" s="29"/>
      <c r="L3" s="29"/>
      <c r="M3" s="29"/>
      <c r="N3" s="29"/>
      <c r="O3" s="83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130"/>
      <c r="AC3" s="130"/>
      <c r="AD3" s="130"/>
      <c r="AE3" s="130"/>
      <c r="AF3" s="130"/>
      <c r="AG3" s="130"/>
      <c r="AH3" s="130"/>
      <c r="AI3" s="130"/>
      <c r="AJ3" s="130"/>
    </row>
    <row r="4" spans="1:36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81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130"/>
      <c r="AC4" s="130"/>
      <c r="AD4" s="130"/>
      <c r="AE4" s="130"/>
      <c r="AF4" s="130"/>
      <c r="AG4" s="130"/>
      <c r="AH4" s="130"/>
      <c r="AI4" s="130"/>
      <c r="AJ4" s="130"/>
    </row>
    <row r="5" spans="1:55" ht="13.5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130"/>
      <c r="AC5" s="130"/>
      <c r="AD5" s="130"/>
      <c r="AE5" s="130"/>
      <c r="AF5" s="130"/>
      <c r="AG5" s="130"/>
      <c r="AH5" s="130"/>
      <c r="AI5" s="130"/>
      <c r="AJ5" s="130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</row>
    <row r="6" spans="1:43" ht="14.25" customHeight="1" thickBot="1">
      <c r="A6" s="29"/>
      <c r="B6" s="168" t="s">
        <v>37</v>
      </c>
      <c r="C6" s="169"/>
      <c r="D6" s="169"/>
      <c r="E6" s="169"/>
      <c r="F6" s="169"/>
      <c r="G6" s="169"/>
      <c r="H6" s="170"/>
      <c r="I6" s="29"/>
      <c r="J6" s="29"/>
      <c r="K6" s="29"/>
      <c r="L6" s="29"/>
      <c r="M6" s="29"/>
      <c r="N6" s="29"/>
      <c r="O6" s="29"/>
      <c r="P6" s="29"/>
      <c r="Q6" s="29"/>
      <c r="R6" s="29"/>
      <c r="S6" s="29" t="s">
        <v>60</v>
      </c>
      <c r="T6" s="29"/>
      <c r="U6" s="29"/>
      <c r="V6" s="29"/>
      <c r="W6" s="29"/>
      <c r="X6" s="29"/>
      <c r="Y6" s="29"/>
      <c r="Z6" s="29"/>
      <c r="AA6" s="29"/>
      <c r="AB6" s="130"/>
      <c r="AC6" s="130"/>
      <c r="AD6" s="130"/>
      <c r="AE6" s="130"/>
      <c r="AF6" s="130"/>
      <c r="AG6" s="130"/>
      <c r="AH6" s="130"/>
      <c r="AI6" s="130"/>
      <c r="AJ6" s="130"/>
      <c r="AK6" s="29"/>
      <c r="AL6" s="29"/>
      <c r="AM6" s="29"/>
      <c r="AN6" s="29"/>
      <c r="AO6" s="29"/>
      <c r="AP6" s="29"/>
      <c r="AQ6" s="29"/>
    </row>
    <row r="7" spans="2:43" ht="0.75" customHeight="1" hidden="1" thickBot="1">
      <c r="B7" s="15"/>
      <c r="C7" s="14"/>
      <c r="D7" s="14"/>
      <c r="K7" s="29"/>
      <c r="L7" s="29"/>
      <c r="M7" s="44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130"/>
      <c r="AC7" s="130"/>
      <c r="AD7" s="130"/>
      <c r="AE7" s="130"/>
      <c r="AF7" s="130"/>
      <c r="AG7" s="130"/>
      <c r="AH7" s="130"/>
      <c r="AI7" s="130"/>
      <c r="AJ7" s="130"/>
      <c r="AK7" s="29"/>
      <c r="AL7" s="29"/>
      <c r="AM7" s="29"/>
      <c r="AN7" s="29"/>
      <c r="AO7" s="29"/>
      <c r="AP7" s="29"/>
      <c r="AQ7" s="29"/>
    </row>
    <row r="8" spans="11:43" ht="8.25" customHeight="1" hidden="1" thickBot="1">
      <c r="K8" s="29"/>
      <c r="L8" s="29"/>
      <c r="M8" s="44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130"/>
      <c r="AC8" s="130"/>
      <c r="AD8" s="130"/>
      <c r="AE8" s="130"/>
      <c r="AF8" s="130"/>
      <c r="AG8" s="130"/>
      <c r="AH8" s="130"/>
      <c r="AI8" s="130"/>
      <c r="AJ8" s="130"/>
      <c r="AK8" s="29"/>
      <c r="AL8" s="29"/>
      <c r="AM8" s="29"/>
      <c r="AN8" s="29"/>
      <c r="AO8" s="29"/>
      <c r="AP8" s="29"/>
      <c r="AQ8" s="29"/>
    </row>
    <row r="9" spans="1:43" ht="18.75" customHeight="1">
      <c r="A9" s="13" t="s">
        <v>0</v>
      </c>
      <c r="B9" s="149" t="s">
        <v>109</v>
      </c>
      <c r="C9" s="149" t="s">
        <v>110</v>
      </c>
      <c r="D9" s="149" t="s">
        <v>111</v>
      </c>
      <c r="E9" s="149" t="s">
        <v>112</v>
      </c>
      <c r="F9" s="149" t="s">
        <v>113</v>
      </c>
      <c r="G9" s="149" t="s">
        <v>114</v>
      </c>
      <c r="H9" s="149" t="s">
        <v>115</v>
      </c>
      <c r="I9" s="166" t="s">
        <v>36</v>
      </c>
      <c r="J9" s="171" t="s">
        <v>49</v>
      </c>
      <c r="K9" s="173" t="s">
        <v>107</v>
      </c>
      <c r="L9" s="164" t="s">
        <v>98</v>
      </c>
      <c r="M9" s="44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130"/>
      <c r="AC9" s="130"/>
      <c r="AD9" s="130"/>
      <c r="AE9" s="130"/>
      <c r="AF9" s="130"/>
      <c r="AG9" s="130"/>
      <c r="AH9" s="130"/>
      <c r="AI9" s="130"/>
      <c r="AJ9" s="130"/>
      <c r="AK9" s="29"/>
      <c r="AL9" s="29"/>
      <c r="AM9" s="29"/>
      <c r="AN9" s="29"/>
      <c r="AO9" s="29"/>
      <c r="AP9" s="29"/>
      <c r="AQ9" s="29"/>
    </row>
    <row r="10" spans="1:69" ht="33.75" customHeight="1">
      <c r="A10" s="16" t="str">
        <f>Informe!A10</f>
        <v>KN</v>
      </c>
      <c r="B10" s="12"/>
      <c r="C10" s="12"/>
      <c r="D10" s="12"/>
      <c r="E10" s="25"/>
      <c r="F10" s="25"/>
      <c r="G10" s="25"/>
      <c r="H10" s="25"/>
      <c r="I10" s="167"/>
      <c r="J10" s="172"/>
      <c r="K10" s="173"/>
      <c r="L10" s="165"/>
      <c r="M10" s="48" t="s">
        <v>71</v>
      </c>
      <c r="N10" s="107" t="s">
        <v>91</v>
      </c>
      <c r="O10" s="107" t="s">
        <v>76</v>
      </c>
      <c r="P10" s="123" t="s">
        <v>97</v>
      </c>
      <c r="Q10" s="117" t="s">
        <v>64</v>
      </c>
      <c r="R10" s="47" t="s">
        <v>65</v>
      </c>
      <c r="S10" s="118" t="s">
        <v>100</v>
      </c>
      <c r="T10" s="119" t="s">
        <v>61</v>
      </c>
      <c r="U10" s="88" t="s">
        <v>101</v>
      </c>
      <c r="V10" s="120" t="s">
        <v>102</v>
      </c>
      <c r="W10" s="121" t="s">
        <v>99</v>
      </c>
      <c r="X10" s="126" t="s">
        <v>74</v>
      </c>
      <c r="Y10" s="127" t="s">
        <v>75</v>
      </c>
      <c r="Z10" s="127" t="s">
        <v>59</v>
      </c>
      <c r="AA10" s="29"/>
      <c r="AB10" s="130"/>
      <c r="AC10" s="130"/>
      <c r="AD10" s="130"/>
      <c r="AE10" s="130"/>
      <c r="AF10" s="130"/>
      <c r="AG10" s="130"/>
      <c r="AH10" s="130"/>
      <c r="AI10" s="130"/>
      <c r="AJ10" s="130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</row>
    <row r="11" spans="1:69" ht="12.75">
      <c r="A11" s="28">
        <f>Informe!A13</f>
        <v>10</v>
      </c>
      <c r="B11" s="135">
        <v>0.001</v>
      </c>
      <c r="C11" s="135">
        <f>informe1!E13/SQRT(12)</f>
        <v>0.004327638626712159</v>
      </c>
      <c r="D11" s="135">
        <f>informe1!C13/SQRT(8)</f>
        <v>0.005299944227555384</v>
      </c>
      <c r="E11" s="135">
        <f>MAX(informe1!$D$5:$G$5)/SQRT(12)</f>
        <v>0.0018748509970487035</v>
      </c>
      <c r="F11" s="135">
        <f>informe1!G13/SQRT(12)</f>
        <v>0.01442484946547173</v>
      </c>
      <c r="G11" s="135">
        <f>informe1!F13/SQRT(24)</f>
        <v>-0.00031188409574740497</v>
      </c>
      <c r="H11" s="135">
        <f>$D$23/(A11*SQRT(12))*100</f>
        <v>0.001442181066324126</v>
      </c>
      <c r="I11" s="136">
        <f>SQRT(SUMSQ(B11:H11))</f>
        <v>0.01617363197239591</v>
      </c>
      <c r="J11" s="138">
        <f>I11*2</f>
        <v>0.03234726394479182</v>
      </c>
      <c r="K11" s="7"/>
      <c r="L11" s="139">
        <f>K11/2</f>
        <v>0</v>
      </c>
      <c r="M11" s="57">
        <f aca="true" t="shared" si="0" ref="M11:M20">I11</f>
        <v>0.01617363197239591</v>
      </c>
      <c r="N11" s="104">
        <f>IF($E$3=1,informe1!N13,0)</f>
        <v>0.011251204486359589</v>
      </c>
      <c r="O11" s="108">
        <f>IF($E$3=2,$K$2*100/(informe1!B13*SQRT(3)),IF($E$3=1,$M$2*100/(informe1!B13*SQRT(3))))</f>
        <v>0.005774627812344894</v>
      </c>
      <c r="P11" s="124">
        <f>SQRT(SUMSQ(N11:O11))</f>
        <v>0.012646577749137721</v>
      </c>
      <c r="Q11" s="111">
        <v>0.000779203872516168</v>
      </c>
      <c r="R11" s="11"/>
      <c r="S11" s="114">
        <f>R11/SQRT(12)</f>
        <v>0</v>
      </c>
      <c r="T11" s="26">
        <f aca="true" t="shared" si="1" ref="T11:T20">M11/3</f>
        <v>0.005391210657465304</v>
      </c>
      <c r="U11" s="11">
        <v>0.0024</v>
      </c>
      <c r="V11" s="111">
        <f>U11/SQRT(2)</f>
        <v>0.0016970562748477138</v>
      </c>
      <c r="W11" s="122">
        <f>SQRT(SUMSQ(Q11,T11,V11))</f>
        <v>0.005705463261481198</v>
      </c>
      <c r="X11" s="128">
        <f>SQRT(SUMSQ(M11,P11,W11))</f>
        <v>0.021309026513935455</v>
      </c>
      <c r="Y11" s="128">
        <f>2*X11</f>
        <v>0.04261805302787091</v>
      </c>
      <c r="Z11" s="125">
        <f>A11</f>
        <v>10</v>
      </c>
      <c r="AA11" s="29"/>
      <c r="AB11" s="130"/>
      <c r="AC11" s="130"/>
      <c r="AD11" s="130"/>
      <c r="AE11" s="130"/>
      <c r="AF11" s="130"/>
      <c r="AG11" s="130"/>
      <c r="AH11" s="130"/>
      <c r="AI11" s="130"/>
      <c r="AJ11" s="130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</row>
    <row r="12" spans="1:69" ht="12.75">
      <c r="A12" s="28">
        <f>Informe!A14</f>
        <v>20</v>
      </c>
      <c r="B12" s="135">
        <v>0.001</v>
      </c>
      <c r="C12" s="135">
        <f>informe1!E14/SQRT(12)</f>
        <v>0.002884948253292708</v>
      </c>
      <c r="D12" s="135">
        <f>informe1!C14/SQRT(8)</f>
        <v>0.0017666039387084869</v>
      </c>
      <c r="E12" s="135">
        <f>MAX(informe1!$D$5:$G$5)/SQRT(12)</f>
        <v>0.0018748509970487035</v>
      </c>
      <c r="F12" s="135">
        <f>informe1!G14/SQRT(12)</f>
        <v>0.009015229047598775</v>
      </c>
      <c r="G12" s="135">
        <f>informe1!F14/SQRT(24)</f>
        <v>0.00015197111422986695</v>
      </c>
      <c r="H12" s="135">
        <f aca="true" t="shared" si="2" ref="H12:H20">$D$23/(A12*SQRT(12))*100</f>
        <v>0.000721090533162063</v>
      </c>
      <c r="I12" s="136">
        <f aca="true" t="shared" si="3" ref="I12:I20">SQRT(SUMSQ(B12:H12))</f>
        <v>0.00988819011340379</v>
      </c>
      <c r="J12" s="138">
        <f aca="true" t="shared" si="4" ref="J12:J20">I12*2</f>
        <v>0.01977638022680758</v>
      </c>
      <c r="K12" s="7"/>
      <c r="L12" s="139">
        <f>K12/2</f>
        <v>0</v>
      </c>
      <c r="M12" s="57">
        <f t="shared" si="0"/>
        <v>0.00988819011340379</v>
      </c>
      <c r="N12" s="105">
        <f>IF($E$3=1,informe1!N14,0)</f>
        <v>0.009808497315492742</v>
      </c>
      <c r="O12" s="109">
        <f>IF($E$3=2,$K$2*100/(informe1!B14*SQRT(3)),IF($E$3=1,$M$2*100/(informe1!B14*SQRT(3))))</f>
        <v>0.0028872417708139036</v>
      </c>
      <c r="P12" s="124">
        <f aca="true" t="shared" si="5" ref="P12:P20">SQRT(SUMSQ(N12:O12))</f>
        <v>0.01022461660069271</v>
      </c>
      <c r="Q12" s="111">
        <v>0.000779203872516168</v>
      </c>
      <c r="R12" s="11"/>
      <c r="S12" s="115">
        <f>R12/SQRT(12)</f>
        <v>0</v>
      </c>
      <c r="T12" s="26">
        <f t="shared" si="1"/>
        <v>0.0032960633711345967</v>
      </c>
      <c r="U12" s="11">
        <v>0.0024</v>
      </c>
      <c r="V12" s="112">
        <f>U12/SQRT(2)</f>
        <v>0.0016970562748477138</v>
      </c>
      <c r="W12" s="122">
        <f>SQRT(SUMSQ(Q12,T12,V12))</f>
        <v>0.003788296770513017</v>
      </c>
      <c r="X12" s="128">
        <f>SQRT(SUMSQ(M12,P12,W12))</f>
        <v>0.014719724208403387</v>
      </c>
      <c r="Y12" s="128">
        <f aca="true" t="shared" si="6" ref="Y12:Y20">2*X12</f>
        <v>0.029439448416806773</v>
      </c>
      <c r="Z12" s="125">
        <f aca="true" t="shared" si="7" ref="Z12:Z20">A12</f>
        <v>20</v>
      </c>
      <c r="AA12" s="29"/>
      <c r="AB12" s="130"/>
      <c r="AC12" s="130"/>
      <c r="AD12" s="130"/>
      <c r="AE12" s="130"/>
      <c r="AF12" s="130"/>
      <c r="AG12" s="130"/>
      <c r="AH12" s="130"/>
      <c r="AI12" s="130"/>
      <c r="AJ12" s="130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</row>
    <row r="13" spans="1:69" ht="12.75">
      <c r="A13" s="28">
        <f>Informe!A15</f>
        <v>30</v>
      </c>
      <c r="B13" s="135">
        <v>0.001</v>
      </c>
      <c r="C13" s="135">
        <f>informe1!E15/SQRT(12)</f>
        <v>0.0019232507842908884</v>
      </c>
      <c r="D13" s="135">
        <f>informe1!C15/SQRT(8)</f>
        <v>0.0017665696113394024</v>
      </c>
      <c r="E13" s="135">
        <f>MAX(informe1!$D$5:$G$5)/SQRT(12)</f>
        <v>0.0018748509970487035</v>
      </c>
      <c r="F13" s="135">
        <f>informe1!G15/SQRT(12)</f>
        <v>0.006731209578285854</v>
      </c>
      <c r="G13" s="135">
        <f>informe1!F15/SQRT(24)</f>
        <v>0.00015468907146658675</v>
      </c>
      <c r="H13" s="135">
        <f t="shared" si="2"/>
        <v>0.00048072702210804187</v>
      </c>
      <c r="I13" s="136">
        <f t="shared" si="3"/>
        <v>0.007543138444808048</v>
      </c>
      <c r="J13" s="138">
        <f t="shared" si="4"/>
        <v>0.015086276889616095</v>
      </c>
      <c r="K13" s="7"/>
      <c r="L13" s="139">
        <f>K13/2</f>
        <v>0</v>
      </c>
      <c r="M13" s="57">
        <f t="shared" si="0"/>
        <v>0.007543138444808048</v>
      </c>
      <c r="N13" s="105">
        <f>IF($E$3=1,informe1!N15,0)</f>
        <v>0.008686441575739168</v>
      </c>
      <c r="O13" s="109">
        <f>IF($E$3=2,$K$2*100/(informe1!B15*SQRT(3)),IF($E$3=1,$M$2*100/(informe1!B15*SQRT(3))))</f>
        <v>0.0019247904453512773</v>
      </c>
      <c r="P13" s="124">
        <f t="shared" si="5"/>
        <v>0.008897139175445415</v>
      </c>
      <c r="Q13" s="111">
        <v>0.000779203872516168</v>
      </c>
      <c r="R13" s="11"/>
      <c r="S13" s="115">
        <f aca="true" t="shared" si="8" ref="S13:S20">R13/SQRT(12)</f>
        <v>0</v>
      </c>
      <c r="T13" s="26">
        <f t="shared" si="1"/>
        <v>0.0025143794816026824</v>
      </c>
      <c r="U13" s="11">
        <v>0.0024</v>
      </c>
      <c r="V13" s="112">
        <f aca="true" t="shared" si="9" ref="V13:V20">U13/SQRT(2)</f>
        <v>0.0016970562748477138</v>
      </c>
      <c r="W13" s="122">
        <f aca="true" t="shared" si="10" ref="W13:W20">SQRT(SUMSQ(Q13,T13,V13))</f>
        <v>0.0031319742739123455</v>
      </c>
      <c r="X13" s="128">
        <f aca="true" t="shared" si="11" ref="X13:X20">SQRT(SUMSQ(M13,P13,W13))</f>
        <v>0.012077552978862706</v>
      </c>
      <c r="Y13" s="128">
        <f t="shared" si="6"/>
        <v>0.024155105957725412</v>
      </c>
      <c r="Z13" s="125">
        <f t="shared" si="7"/>
        <v>30</v>
      </c>
      <c r="AA13" s="29"/>
      <c r="AB13" s="130"/>
      <c r="AC13" s="130"/>
      <c r="AD13" s="130"/>
      <c r="AE13" s="130"/>
      <c r="AF13" s="130"/>
      <c r="AG13" s="130"/>
      <c r="AH13" s="130"/>
      <c r="AI13" s="130"/>
      <c r="AJ13" s="130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</row>
    <row r="14" spans="1:69" ht="12.75">
      <c r="A14" s="28">
        <f>Informe!A16</f>
        <v>40</v>
      </c>
      <c r="B14" s="135">
        <v>0.001</v>
      </c>
      <c r="C14" s="135">
        <f>informe1!E16/SQRT(12)</f>
        <v>0.001442420069675342</v>
      </c>
      <c r="D14" s="135">
        <f>informe1!C16/SQRT(8)</f>
        <v>0.0013249088194568583</v>
      </c>
      <c r="E14" s="135">
        <f>MAX(informe1!$D$5:$G$5)/SQRT(12)</f>
        <v>0.0018748509970487035</v>
      </c>
      <c r="F14" s="135">
        <f>informe1!G16/SQRT(12)</f>
        <v>0.005408906346774321</v>
      </c>
      <c r="G14" s="135">
        <f>informe1!F16/SQRT(24)</f>
        <v>-2.8897636600670983E-05</v>
      </c>
      <c r="H14" s="135">
        <f t="shared" si="2"/>
        <v>0.0003605452665810315</v>
      </c>
      <c r="I14" s="136">
        <f t="shared" si="3"/>
        <v>0.006143136098870179</v>
      </c>
      <c r="J14" s="138">
        <f t="shared" si="4"/>
        <v>0.012286272197740358</v>
      </c>
      <c r="K14" s="7"/>
      <c r="L14" s="139">
        <f>K14/2</f>
        <v>0</v>
      </c>
      <c r="M14" s="57">
        <f t="shared" si="0"/>
        <v>0.006143136098870179</v>
      </c>
      <c r="N14" s="105">
        <f>IF($E$3=1,informe1!N16,0)</f>
        <v>0.00788499988734937</v>
      </c>
      <c r="O14" s="109">
        <f>IF($E$3=2,$K$2*100/(informe1!B16*SQRT(3)),IF($E$3=1,$M$2*100/(informe1!B16*SQRT(3))))</f>
        <v>0.0014435727979712483</v>
      </c>
      <c r="P14" s="124">
        <f t="shared" si="5"/>
        <v>0.008016054244236506</v>
      </c>
      <c r="Q14" s="111">
        <v>0.000779203872516168</v>
      </c>
      <c r="R14" s="11"/>
      <c r="S14" s="115">
        <f t="shared" si="8"/>
        <v>0</v>
      </c>
      <c r="T14" s="26">
        <f t="shared" si="1"/>
        <v>0.0020477120329567265</v>
      </c>
      <c r="U14" s="11">
        <v>0.0024</v>
      </c>
      <c r="V14" s="112">
        <f t="shared" si="9"/>
        <v>0.0016970562748477138</v>
      </c>
      <c r="W14" s="122">
        <f t="shared" si="10"/>
        <v>0.002771332395231572</v>
      </c>
      <c r="X14" s="128">
        <f t="shared" si="11"/>
        <v>0.010472608558551397</v>
      </c>
      <c r="Y14" s="128">
        <f t="shared" si="6"/>
        <v>0.020945217117102795</v>
      </c>
      <c r="Z14" s="125">
        <f t="shared" si="7"/>
        <v>40</v>
      </c>
      <c r="AA14" s="29"/>
      <c r="AB14" s="130"/>
      <c r="AC14" s="130"/>
      <c r="AD14" s="130"/>
      <c r="AE14" s="130"/>
      <c r="AF14" s="130"/>
      <c r="AG14" s="130"/>
      <c r="AH14" s="130"/>
      <c r="AI14" s="130"/>
      <c r="AJ14" s="130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</row>
    <row r="15" spans="1:69" ht="12.75">
      <c r="A15" s="28">
        <f>Informe!A17</f>
        <v>50</v>
      </c>
      <c r="B15" s="135">
        <v>0.001</v>
      </c>
      <c r="C15" s="135">
        <f>informe1!E17/SQRT(12)</f>
        <v>0.0011539043443827821</v>
      </c>
      <c r="D15" s="135">
        <f>informe1!C17/SQRT(8)</f>
        <v>0.0010599041068493668</v>
      </c>
      <c r="E15" s="135">
        <f>MAX(informe1!$D$5:$G$5)/SQRT(12)</f>
        <v>0.0018748509970487035</v>
      </c>
      <c r="F15" s="135">
        <f>informe1!G17/SQRT(12)</f>
        <v>0.004327028867224552</v>
      </c>
      <c r="G15" s="135">
        <f>informe1!F17/SQRT(24)</f>
        <v>-7.184404939532478E-05</v>
      </c>
      <c r="H15" s="135">
        <f t="shared" si="2"/>
        <v>0.00028843621326482517</v>
      </c>
      <c r="I15" s="136">
        <f t="shared" si="3"/>
        <v>0.005077548034946276</v>
      </c>
      <c r="J15" s="138">
        <f t="shared" si="4"/>
        <v>0.010155096069892552</v>
      </c>
      <c r="K15" s="7"/>
      <c r="L15" s="139">
        <f>K15/2</f>
        <v>0</v>
      </c>
      <c r="M15" s="57">
        <f t="shared" si="0"/>
        <v>0.005077548034946276</v>
      </c>
      <c r="N15" s="105">
        <f>IF($E$3=1,informe1!N17,0)</f>
        <v>0.006634795275056195</v>
      </c>
      <c r="O15" s="109">
        <f>IF($E$3=2,$K$2*100/(informe1!B17*SQRT(3)),IF($E$3=1,$M$2*100/(informe1!B17*SQRT(3))))</f>
        <v>0.0011548332342847527</v>
      </c>
      <c r="P15" s="124">
        <f t="shared" si="5"/>
        <v>0.006734548844645541</v>
      </c>
      <c r="Q15" s="111">
        <v>0.000779203872516168</v>
      </c>
      <c r="R15" s="11"/>
      <c r="S15" s="115">
        <f t="shared" si="8"/>
        <v>0</v>
      </c>
      <c r="T15" s="26">
        <f t="shared" si="1"/>
        <v>0.0016925160116487588</v>
      </c>
      <c r="U15" s="11">
        <v>0.0024</v>
      </c>
      <c r="V15" s="112">
        <f t="shared" si="9"/>
        <v>0.0016970562748477138</v>
      </c>
      <c r="W15" s="122">
        <f t="shared" si="10"/>
        <v>0.0025202716370724037</v>
      </c>
      <c r="X15" s="128">
        <f t="shared" si="11"/>
        <v>0.0088026934124014</v>
      </c>
      <c r="Y15" s="128">
        <f t="shared" si="6"/>
        <v>0.0176053868248028</v>
      </c>
      <c r="Z15" s="125">
        <f t="shared" si="7"/>
        <v>50</v>
      </c>
      <c r="AA15" s="29"/>
      <c r="AB15" s="130"/>
      <c r="AC15" s="130"/>
      <c r="AD15" s="130"/>
      <c r="AE15" s="130"/>
      <c r="AF15" s="130"/>
      <c r="AG15" s="130"/>
      <c r="AH15" s="130"/>
      <c r="AI15" s="130"/>
      <c r="AJ15" s="130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</row>
    <row r="16" spans="1:69" ht="12.75">
      <c r="A16" s="28">
        <f>Informe!A18</f>
        <v>60</v>
      </c>
      <c r="B16" s="135">
        <v>0.001</v>
      </c>
      <c r="C16" s="135">
        <f>informe1!E18/SQRT(12)</f>
        <v>0.0009615613296973888</v>
      </c>
      <c r="D16" s="135">
        <f>informe1!C18/SQRT(8)</f>
        <v>0.001177641156006944</v>
      </c>
      <c r="E16" s="135">
        <f>MAX(informe1!$D$5:$G$5)/SQRT(12)</f>
        <v>0.0018748509970487035</v>
      </c>
      <c r="F16" s="135">
        <f>informe1!G18/SQRT(12)</f>
        <v>0.003124996253425053</v>
      </c>
      <c r="G16" s="135">
        <f>informe1!F18/SQRT(24)</f>
        <v>-3.5163112597975325E-05</v>
      </c>
      <c r="H16" s="135">
        <f t="shared" si="2"/>
        <v>0.00024036351105402094</v>
      </c>
      <c r="I16" s="136">
        <f t="shared" si="3"/>
        <v>0.004080578119590374</v>
      </c>
      <c r="J16" s="138">
        <f t="shared" si="4"/>
        <v>0.008161156239180747</v>
      </c>
      <c r="K16" s="41"/>
      <c r="L16" s="140"/>
      <c r="M16" s="57">
        <f t="shared" si="0"/>
        <v>0.004080578119590374</v>
      </c>
      <c r="N16" s="105">
        <f>IF($E$3=1,informe1!N18,0)</f>
        <v>0.005160264545621221</v>
      </c>
      <c r="O16" s="109">
        <f>IF($E$3=2,$K$2*100/(informe1!B18*SQRT(3)),IF($E$3=1,$M$2*100/(informe1!B18*SQRT(3))))</f>
        <v>0.0009623364530584699</v>
      </c>
      <c r="P16" s="124">
        <f t="shared" si="5"/>
        <v>0.005249230575015785</v>
      </c>
      <c r="Q16" s="111">
        <v>0.000779203872516168</v>
      </c>
      <c r="R16" s="11"/>
      <c r="S16" s="115">
        <f t="shared" si="8"/>
        <v>0</v>
      </c>
      <c r="T16" s="26">
        <f t="shared" si="1"/>
        <v>0.0013601927065301246</v>
      </c>
      <c r="U16" s="11">
        <v>0.0024</v>
      </c>
      <c r="V16" s="112">
        <f t="shared" si="9"/>
        <v>0.0016970562748477138</v>
      </c>
      <c r="W16" s="122">
        <f t="shared" si="10"/>
        <v>0.0023102560191117214</v>
      </c>
      <c r="X16" s="128">
        <f t="shared" si="11"/>
        <v>0.0070386662297343095</v>
      </c>
      <c r="Y16" s="128">
        <f t="shared" si="6"/>
        <v>0.014077332459468619</v>
      </c>
      <c r="Z16" s="125">
        <f t="shared" si="7"/>
        <v>60</v>
      </c>
      <c r="AA16" s="29"/>
      <c r="AB16" s="130"/>
      <c r="AC16" s="130"/>
      <c r="AD16" s="130"/>
      <c r="AE16" s="130"/>
      <c r="AF16" s="130"/>
      <c r="AG16" s="130"/>
      <c r="AH16" s="130"/>
      <c r="AI16" s="130"/>
      <c r="AJ16" s="130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</row>
    <row r="17" spans="1:69" ht="12.75">
      <c r="A17" s="28">
        <f>Informe!A19</f>
        <v>70</v>
      </c>
      <c r="B17" s="135">
        <v>0.001</v>
      </c>
      <c r="C17" s="135">
        <f>informe1!E19/SQRT(12)</f>
        <v>0.0008241738554077017</v>
      </c>
      <c r="D17" s="135">
        <f>informe1!C19/SQRT(8)</f>
        <v>0.0010093834904652474</v>
      </c>
      <c r="E17" s="135">
        <f>MAX(informe1!$D$5:$G$5)/SQRT(12)</f>
        <v>0.0018748509970487035</v>
      </c>
      <c r="F17" s="135">
        <f>informe1!G19/SQRT(12)</f>
        <v>0.002266429572534971</v>
      </c>
      <c r="G17" s="135">
        <f>informe1!F19/SQRT(24)</f>
        <v>-4.213179379348752E-05</v>
      </c>
      <c r="H17" s="135">
        <f t="shared" si="2"/>
        <v>0.00020602586661773223</v>
      </c>
      <c r="I17" s="136">
        <f t="shared" si="3"/>
        <v>0.0033755160477948873</v>
      </c>
      <c r="J17" s="138">
        <f t="shared" si="4"/>
        <v>0.0067510320955897745</v>
      </c>
      <c r="K17" s="42"/>
      <c r="L17" s="140"/>
      <c r="M17" s="57">
        <f t="shared" si="0"/>
        <v>0.0033755160477948873</v>
      </c>
      <c r="N17" s="105">
        <f>IF($E$3=1,informe1!N19,0)</f>
        <v>0.003832335484966568</v>
      </c>
      <c r="O17" s="109">
        <f>IF($E$3=2,$K$2*100/(informe1!B19*SQRT(3)),IF($E$3=1,$M$2*100/(informe1!B19*SQRT(3))))</f>
        <v>0.0008248408464921078</v>
      </c>
      <c r="P17" s="124">
        <f t="shared" si="5"/>
        <v>0.003920096643116819</v>
      </c>
      <c r="Q17" s="111">
        <v>0.000779203872516168</v>
      </c>
      <c r="R17" s="11"/>
      <c r="S17" s="115">
        <f t="shared" si="8"/>
        <v>0</v>
      </c>
      <c r="T17" s="26">
        <f t="shared" si="1"/>
        <v>0.001125172015931629</v>
      </c>
      <c r="U17" s="11">
        <v>0.0024</v>
      </c>
      <c r="V17" s="112">
        <f t="shared" si="9"/>
        <v>0.0016970562748477138</v>
      </c>
      <c r="W17" s="122">
        <f t="shared" si="10"/>
        <v>0.0021801767681497385</v>
      </c>
      <c r="X17" s="128">
        <f t="shared" si="11"/>
        <v>0.005613772084853144</v>
      </c>
      <c r="Y17" s="128">
        <f t="shared" si="6"/>
        <v>0.011227544169706288</v>
      </c>
      <c r="Z17" s="125">
        <f t="shared" si="7"/>
        <v>70</v>
      </c>
      <c r="AA17" s="29"/>
      <c r="AB17" s="130"/>
      <c r="AC17" s="130"/>
      <c r="AD17" s="130"/>
      <c r="AE17" s="130"/>
      <c r="AF17" s="130"/>
      <c r="AG17" s="130"/>
      <c r="AH17" s="130"/>
      <c r="AI17" s="130"/>
      <c r="AJ17" s="130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</row>
    <row r="18" spans="1:69" ht="12.75">
      <c r="A18" s="28">
        <f>Informe!A20</f>
        <v>80</v>
      </c>
      <c r="B18" s="135">
        <v>0.001</v>
      </c>
      <c r="C18" s="135">
        <f>informe1!E20/SQRT(12)</f>
        <v>0.0007211334651364303</v>
      </c>
      <c r="D18" s="135">
        <f>informe1!C20/SQRT(8)</f>
        <v>0.0008831861274376123</v>
      </c>
      <c r="E18" s="135">
        <f>MAX(informe1!$D$5:$G$5)/SQRT(12)</f>
        <v>0.0018748509970487035</v>
      </c>
      <c r="F18" s="135">
        <f>informe1!G20/SQRT(12)</f>
        <v>0.0012619520396161433</v>
      </c>
      <c r="G18" s="135">
        <f>informe1!F20/SQRT(24)</f>
        <v>5.808084070774339E-05</v>
      </c>
      <c r="H18" s="135">
        <f t="shared" si="2"/>
        <v>0.00018027263329051574</v>
      </c>
      <c r="I18" s="136">
        <f t="shared" si="3"/>
        <v>0.0027282800494147588</v>
      </c>
      <c r="J18" s="138">
        <f t="shared" si="4"/>
        <v>0.0054565600988295175</v>
      </c>
      <c r="K18" s="42"/>
      <c r="L18" s="140"/>
      <c r="M18" s="57">
        <f t="shared" si="0"/>
        <v>0.0027282800494147588</v>
      </c>
      <c r="N18" s="105">
        <f>IF($E$3=1,informe1!N20,0)</f>
        <v>0.0022354672054623877</v>
      </c>
      <c r="O18" s="109">
        <f>IF($E$3=2,$K$2*100/(informe1!B20*SQRT(3)),IF($E$3=1,$M$2*100/(informe1!B20*SQRT(3))))</f>
        <v>0.0007217157798271005</v>
      </c>
      <c r="P18" s="124">
        <f t="shared" si="5"/>
        <v>0.0023490822236672043</v>
      </c>
      <c r="Q18" s="111">
        <v>0.000779203872516168</v>
      </c>
      <c r="R18" s="11"/>
      <c r="S18" s="115">
        <f t="shared" si="8"/>
        <v>0</v>
      </c>
      <c r="T18" s="26">
        <f t="shared" si="1"/>
        <v>0.000909426683138253</v>
      </c>
      <c r="U18" s="11">
        <v>0.0024</v>
      </c>
      <c r="V18" s="112">
        <f t="shared" si="9"/>
        <v>0.0016970562748477138</v>
      </c>
      <c r="W18" s="122">
        <f t="shared" si="10"/>
        <v>0.002077068984638699</v>
      </c>
      <c r="X18" s="128">
        <f t="shared" si="11"/>
        <v>0.004156430546578626</v>
      </c>
      <c r="Y18" s="128">
        <f t="shared" si="6"/>
        <v>0.008312861093157252</v>
      </c>
      <c r="Z18" s="125">
        <f t="shared" si="7"/>
        <v>80</v>
      </c>
      <c r="AA18" s="29"/>
      <c r="AB18" s="130"/>
      <c r="AC18" s="130"/>
      <c r="AD18" s="130"/>
      <c r="AE18" s="130"/>
      <c r="AF18" s="130"/>
      <c r="AG18" s="130"/>
      <c r="AH18" s="130"/>
      <c r="AI18" s="130"/>
      <c r="AJ18" s="130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</row>
    <row r="19" spans="1:69" ht="12.75">
      <c r="A19" s="28">
        <f>Informe!A21</f>
        <v>90</v>
      </c>
      <c r="B19" s="135">
        <v>0.001</v>
      </c>
      <c r="C19" s="135">
        <f>informe1!E21/SQRT(12)</f>
        <v>0.0006409910673078645</v>
      </c>
      <c r="D19" s="135">
        <f>informe1!C21/SQRT(8)</f>
        <v>0.0009812968109034336</v>
      </c>
      <c r="E19" s="135">
        <f>MAX(informe1!$D$5:$G$5)/SQRT(12)</f>
        <v>0.0018748509970487035</v>
      </c>
      <c r="F19" s="135">
        <f>informe1!G21/SQRT(12)</f>
        <v>0.0006409786138519413</v>
      </c>
      <c r="G19" s="135">
        <f>informe1!F21/SQRT(24)</f>
        <v>4.709736324060999E-05</v>
      </c>
      <c r="H19" s="135">
        <f t="shared" si="2"/>
        <v>0.00016024234070268061</v>
      </c>
      <c r="I19" s="136">
        <f t="shared" si="3"/>
        <v>0.0025154778061803468</v>
      </c>
      <c r="J19" s="138">
        <f t="shared" si="4"/>
        <v>0.0050309556123606936</v>
      </c>
      <c r="K19" s="42"/>
      <c r="L19" s="140"/>
      <c r="M19" s="57">
        <f t="shared" si="0"/>
        <v>0.0025154778061803468</v>
      </c>
      <c r="N19" s="105">
        <f>IF($E$3=1,informe1!N21,0)</f>
        <v>0.0009935196088213213</v>
      </c>
      <c r="O19" s="109">
        <f>IF($E$3=2,$K$2*100/(informe1!B21*SQRT(3)),IF($E$3=1,$M$2*100/(informe1!B21*SQRT(3))))</f>
        <v>0.0006415113382063489</v>
      </c>
      <c r="P19" s="124">
        <f t="shared" si="5"/>
        <v>0.0011826318151308848</v>
      </c>
      <c r="Q19" s="111">
        <v>0.000779203872516168</v>
      </c>
      <c r="R19" s="11"/>
      <c r="S19" s="115">
        <f t="shared" si="8"/>
        <v>0</v>
      </c>
      <c r="T19" s="26">
        <f t="shared" si="1"/>
        <v>0.0008384926020601156</v>
      </c>
      <c r="U19" s="11">
        <v>0.0024</v>
      </c>
      <c r="V19" s="112">
        <f t="shared" si="9"/>
        <v>0.0016970562748477138</v>
      </c>
      <c r="W19" s="122">
        <f t="shared" si="10"/>
        <v>0.0020470047676187115</v>
      </c>
      <c r="X19" s="128">
        <f t="shared" si="11"/>
        <v>0.0034520247858611038</v>
      </c>
      <c r="Y19" s="128">
        <f t="shared" si="6"/>
        <v>0.0069040495717222075</v>
      </c>
      <c r="Z19" s="125">
        <f t="shared" si="7"/>
        <v>90</v>
      </c>
      <c r="AA19" s="29"/>
      <c r="AB19" s="130"/>
      <c r="AC19" s="130"/>
      <c r="AD19" s="130"/>
      <c r="AE19" s="130"/>
      <c r="AF19" s="130"/>
      <c r="AG19" s="130"/>
      <c r="AH19" s="130"/>
      <c r="AI19" s="130"/>
      <c r="AJ19" s="130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</row>
    <row r="20" spans="1:69" ht="12.75">
      <c r="A20" s="28">
        <f>Informe!A22</f>
        <v>100</v>
      </c>
      <c r="B20" s="135">
        <v>0.001</v>
      </c>
      <c r="C20" s="135">
        <f>informe1!E22/SQRT(12)</f>
        <v>0.0004326611646987384</v>
      </c>
      <c r="D20" s="135">
        <f>informe1!C22/SQRT(8)</f>
        <v>0.0008831519322972047</v>
      </c>
      <c r="E20" s="135">
        <f>MAX(informe1!$D$5:$G$5)/SQRT(12)</f>
        <v>0.0018748509970487035</v>
      </c>
      <c r="F20" s="135">
        <f>informe1!G22/SQRT(12)</f>
        <v>0</v>
      </c>
      <c r="G20" s="135">
        <f>informe1!F22/SQRT(24)</f>
        <v>-3.6131934342611456E-05</v>
      </c>
      <c r="H20" s="135">
        <f t="shared" si="2"/>
        <v>0.00014421810663241258</v>
      </c>
      <c r="I20" s="136">
        <f t="shared" si="3"/>
        <v>0.002346129506027587</v>
      </c>
      <c r="J20" s="138">
        <f t="shared" si="4"/>
        <v>0.004692259012055174</v>
      </c>
      <c r="K20" s="43"/>
      <c r="L20" s="140"/>
      <c r="M20" s="57">
        <f t="shared" si="0"/>
        <v>0.002346129506027587</v>
      </c>
      <c r="N20" s="106">
        <f>IF($E$3=1,informe1!N22,0)</f>
        <v>0</v>
      </c>
      <c r="O20" s="110">
        <f>IF($E$3=2,$K$2*100/(informe1!B22*SQRT(3)),IF($E$3=1,$M$2*100/(informe1!B22*SQRT(3))))</f>
        <v>0.0005773502691896258</v>
      </c>
      <c r="P20" s="124">
        <f t="shared" si="5"/>
        <v>0.0005773502691896258</v>
      </c>
      <c r="Q20" s="111">
        <v>0.000779203872516168</v>
      </c>
      <c r="R20" s="11"/>
      <c r="S20" s="116">
        <f t="shared" si="8"/>
        <v>0</v>
      </c>
      <c r="T20" s="26">
        <f t="shared" si="1"/>
        <v>0.0007820431686758624</v>
      </c>
      <c r="U20" s="11">
        <v>0.0024</v>
      </c>
      <c r="V20" s="113">
        <f t="shared" si="9"/>
        <v>0.0016970562748477138</v>
      </c>
      <c r="W20" s="122">
        <f t="shared" si="10"/>
        <v>0.0020245370316733587</v>
      </c>
      <c r="X20" s="128">
        <f t="shared" si="11"/>
        <v>0.0031522067167308932</v>
      </c>
      <c r="Y20" s="128">
        <f t="shared" si="6"/>
        <v>0.0063044134334617865</v>
      </c>
      <c r="Z20" s="125">
        <f t="shared" si="7"/>
        <v>100</v>
      </c>
      <c r="AA20" s="29"/>
      <c r="AB20" s="130"/>
      <c r="AC20" s="130"/>
      <c r="AD20" s="130"/>
      <c r="AE20" s="130"/>
      <c r="AF20" s="130"/>
      <c r="AG20" s="130"/>
      <c r="AH20" s="130"/>
      <c r="AI20" s="130"/>
      <c r="AJ20" s="130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</row>
    <row r="21" spans="1:43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44"/>
      <c r="R21" s="44"/>
      <c r="S21" s="40"/>
      <c r="T21" s="40"/>
      <c r="U21" s="44"/>
      <c r="V21" s="44"/>
      <c r="W21" s="44"/>
      <c r="X21" s="44"/>
      <c r="Y21" s="44"/>
      <c r="Z21" s="45"/>
      <c r="AA21" s="29"/>
      <c r="AB21" s="130"/>
      <c r="AC21" s="130"/>
      <c r="AD21" s="130"/>
      <c r="AE21" s="130"/>
      <c r="AF21" s="130"/>
      <c r="AG21" s="130"/>
      <c r="AH21" s="130"/>
      <c r="AI21" s="130"/>
      <c r="AJ21" s="130"/>
      <c r="AK21" s="29"/>
      <c r="AL21" s="29"/>
      <c r="AM21" s="29"/>
      <c r="AN21" s="29"/>
      <c r="AO21" s="29"/>
      <c r="AP21" s="29"/>
      <c r="AQ21" s="29"/>
    </row>
    <row r="22" spans="1:43" ht="12.75">
      <c r="A22" s="29"/>
      <c r="B22" s="29"/>
      <c r="C22" s="29"/>
      <c r="D22" s="29"/>
      <c r="E22" s="29"/>
      <c r="F22" s="29"/>
      <c r="G22" s="29"/>
      <c r="H22" s="29"/>
      <c r="I22" s="174"/>
      <c r="J22" s="175" t="s">
        <v>50</v>
      </c>
      <c r="K22" s="29" t="s">
        <v>66</v>
      </c>
      <c r="L22" s="29"/>
      <c r="M22" s="44"/>
      <c r="N22" s="29"/>
      <c r="O22" s="29"/>
      <c r="P22" s="29"/>
      <c r="Q22" s="29"/>
      <c r="R22" s="49"/>
      <c r="S22" s="50"/>
      <c r="T22" s="51"/>
      <c r="U22" s="29"/>
      <c r="V22" s="29"/>
      <c r="W22" s="29"/>
      <c r="X22" s="29"/>
      <c r="Y22" s="29"/>
      <c r="Z22" s="29"/>
      <c r="AA22" s="29"/>
      <c r="AB22" s="130"/>
      <c r="AC22" s="130"/>
      <c r="AD22" s="130"/>
      <c r="AE22" s="130"/>
      <c r="AF22" s="130"/>
      <c r="AG22" s="130"/>
      <c r="AH22" s="130"/>
      <c r="AI22" s="130"/>
      <c r="AJ22" s="130"/>
      <c r="AK22" s="29"/>
      <c r="AL22" s="29"/>
      <c r="AM22" s="29"/>
      <c r="AN22" s="29"/>
      <c r="AO22" s="29"/>
      <c r="AP22" s="29"/>
      <c r="AQ22" s="29"/>
    </row>
    <row r="23" spans="1:43" ht="18.75">
      <c r="A23" s="29"/>
      <c r="B23" s="29"/>
      <c r="C23" s="29" t="s">
        <v>38</v>
      </c>
      <c r="D23" s="39">
        <f>0.00001*A20/informe1!B22</f>
        <v>0.0004995861761174493</v>
      </c>
      <c r="E23" s="29" t="s">
        <v>50</v>
      </c>
      <c r="F23" s="29"/>
      <c r="G23" s="29"/>
      <c r="H23" s="29"/>
      <c r="I23" s="174"/>
      <c r="J23" s="175" t="s">
        <v>77</v>
      </c>
      <c r="K23" s="29" t="s">
        <v>67</v>
      </c>
      <c r="L23" s="29"/>
      <c r="M23" s="29"/>
      <c r="N23" s="29"/>
      <c r="O23" s="29"/>
      <c r="P23" s="29"/>
      <c r="Q23" s="29"/>
      <c r="R23" s="52" t="s">
        <v>72</v>
      </c>
      <c r="S23" s="44"/>
      <c r="T23" s="53" t="s">
        <v>73</v>
      </c>
      <c r="U23" s="29"/>
      <c r="V23" s="29"/>
      <c r="W23" s="29"/>
      <c r="X23" s="29"/>
      <c r="Y23" s="29"/>
      <c r="Z23" s="29"/>
      <c r="AA23" s="29"/>
      <c r="AB23" s="130"/>
      <c r="AC23" s="130"/>
      <c r="AD23" s="130"/>
      <c r="AE23" s="130"/>
      <c r="AF23" s="130"/>
      <c r="AG23" s="130"/>
      <c r="AH23" s="130"/>
      <c r="AI23" s="130"/>
      <c r="AJ23" s="130"/>
      <c r="AK23" s="29"/>
      <c r="AL23" s="29"/>
      <c r="AM23" s="29"/>
      <c r="AN23" s="29"/>
      <c r="AO23" s="29"/>
      <c r="AP23" s="29"/>
      <c r="AQ23" s="29"/>
    </row>
    <row r="24" spans="1:43" ht="12.75">
      <c r="A24" s="29"/>
      <c r="B24" s="29"/>
      <c r="C24" s="29"/>
      <c r="D24" s="29"/>
      <c r="E24" s="29"/>
      <c r="F24" s="29"/>
      <c r="G24" s="29"/>
      <c r="H24" s="29"/>
      <c r="I24" s="174"/>
      <c r="J24" s="175"/>
      <c r="K24" s="29" t="s">
        <v>68</v>
      </c>
      <c r="L24" s="29"/>
      <c r="M24" s="29"/>
      <c r="N24" s="29"/>
      <c r="O24" s="29"/>
      <c r="P24" s="29"/>
      <c r="Q24" s="29"/>
      <c r="R24" s="54"/>
      <c r="S24" s="55"/>
      <c r="T24" s="56"/>
      <c r="U24" s="29"/>
      <c r="V24" s="29"/>
      <c r="W24" s="29"/>
      <c r="X24" s="29"/>
      <c r="Y24" s="29"/>
      <c r="Z24" s="29"/>
      <c r="AA24" s="29"/>
      <c r="AB24" s="130"/>
      <c r="AC24" s="130"/>
      <c r="AD24" s="130"/>
      <c r="AE24" s="130"/>
      <c r="AF24" s="130"/>
      <c r="AG24" s="130"/>
      <c r="AH24" s="130"/>
      <c r="AI24" s="130"/>
      <c r="AJ24" s="130"/>
      <c r="AK24" s="29"/>
      <c r="AL24" s="29"/>
      <c r="AM24" s="29"/>
      <c r="AN24" s="29"/>
      <c r="AO24" s="29"/>
      <c r="AP24" s="29"/>
      <c r="AQ24" s="29"/>
    </row>
    <row r="25" spans="1:43" ht="12.75">
      <c r="A25" s="29"/>
      <c r="B25" s="29" t="s">
        <v>39</v>
      </c>
      <c r="C25" s="29"/>
      <c r="D25" s="29"/>
      <c r="E25" s="29"/>
      <c r="F25" s="29"/>
      <c r="G25" s="29"/>
      <c r="H25" s="29"/>
      <c r="I25" s="29"/>
      <c r="J25" s="40"/>
      <c r="K25" s="29" t="s">
        <v>69</v>
      </c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130"/>
      <c r="AC25" s="130"/>
      <c r="AD25" s="130"/>
      <c r="AE25" s="130"/>
      <c r="AF25" s="130"/>
      <c r="AG25" s="130"/>
      <c r="AH25" s="130"/>
      <c r="AI25" s="130"/>
      <c r="AJ25" s="130"/>
      <c r="AK25" s="29"/>
      <c r="AL25" s="29"/>
      <c r="AM25" s="29"/>
      <c r="AN25" s="29"/>
      <c r="AO25" s="29"/>
      <c r="AP25" s="29"/>
      <c r="AQ25" s="29"/>
    </row>
    <row r="26" spans="1:43" ht="12.75">
      <c r="A26" s="29"/>
      <c r="B26" s="29"/>
      <c r="C26" s="29"/>
      <c r="D26" s="29"/>
      <c r="E26" s="29"/>
      <c r="F26" s="29"/>
      <c r="G26" s="29"/>
      <c r="H26" s="29"/>
      <c r="I26" s="29"/>
      <c r="J26" s="40"/>
      <c r="K26" s="29" t="s">
        <v>70</v>
      </c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130"/>
      <c r="AC26" s="130"/>
      <c r="AD26" s="130"/>
      <c r="AE26" s="130"/>
      <c r="AF26" s="130"/>
      <c r="AG26" s="130"/>
      <c r="AH26" s="130"/>
      <c r="AI26" s="130"/>
      <c r="AJ26" s="130"/>
      <c r="AL26" s="29"/>
      <c r="AM26" s="29"/>
      <c r="AN26" s="29"/>
      <c r="AO26" s="29"/>
      <c r="AP26" s="29"/>
      <c r="AQ26" s="29"/>
    </row>
    <row r="27" spans="1:43" ht="14.25">
      <c r="A27" s="29"/>
      <c r="B27" s="29"/>
      <c r="C27" s="29"/>
      <c r="D27" s="29"/>
      <c r="E27" s="29"/>
      <c r="F27" s="29"/>
      <c r="G27" s="29"/>
      <c r="H27" s="29"/>
      <c r="I27" s="29"/>
      <c r="J27" s="40"/>
      <c r="K27" s="82"/>
      <c r="L27" s="29"/>
      <c r="M27" s="29"/>
      <c r="N27" s="29"/>
      <c r="O27" s="29"/>
      <c r="P27" s="29"/>
      <c r="Q27" s="29"/>
      <c r="R27" s="84" t="s">
        <v>90</v>
      </c>
      <c r="S27" s="29"/>
      <c r="T27" s="29"/>
      <c r="U27" s="29"/>
      <c r="V27" s="29"/>
      <c r="W27" s="29"/>
      <c r="X27" s="29"/>
      <c r="Y27" s="29"/>
      <c r="Z27" s="29"/>
      <c r="AA27" s="29"/>
      <c r="AB27" s="130"/>
      <c r="AC27" s="130"/>
      <c r="AD27" s="130"/>
      <c r="AE27" s="130"/>
      <c r="AF27" s="130"/>
      <c r="AG27" s="130"/>
      <c r="AH27" s="130"/>
      <c r="AI27" s="130"/>
      <c r="AJ27" s="130"/>
      <c r="AL27" s="29"/>
      <c r="AM27" s="29"/>
      <c r="AN27" s="29"/>
      <c r="AO27" s="29"/>
      <c r="AP27" s="29"/>
      <c r="AQ27" s="29"/>
    </row>
    <row r="28" spans="1:43" ht="12.75">
      <c r="A28" s="29"/>
      <c r="B28" s="29"/>
      <c r="C28" s="29"/>
      <c r="D28" s="29"/>
      <c r="E28" s="29"/>
      <c r="F28" s="29"/>
      <c r="G28" s="29"/>
      <c r="H28" s="29"/>
      <c r="I28" s="29"/>
      <c r="J28" s="40"/>
      <c r="K28" s="82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130"/>
      <c r="AC28" s="130"/>
      <c r="AD28" s="130"/>
      <c r="AE28" s="130"/>
      <c r="AF28" s="130"/>
      <c r="AG28" s="130"/>
      <c r="AH28" s="130"/>
      <c r="AI28" s="130"/>
      <c r="AJ28" s="130"/>
      <c r="AL28" s="29"/>
      <c r="AM28" s="29"/>
      <c r="AN28" s="29"/>
      <c r="AO28" s="29"/>
      <c r="AP28" s="29"/>
      <c r="AQ28" s="29"/>
    </row>
    <row r="29" spans="1:43" ht="12.75">
      <c r="A29" s="29"/>
      <c r="B29" s="29"/>
      <c r="C29" s="29"/>
      <c r="D29" s="29"/>
      <c r="E29" s="29"/>
      <c r="F29" s="29"/>
      <c r="G29" s="29"/>
      <c r="H29" s="29"/>
      <c r="I29" s="29"/>
      <c r="J29" s="40"/>
      <c r="K29" s="82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130"/>
      <c r="AC29" s="130"/>
      <c r="AD29" s="130"/>
      <c r="AE29" s="130"/>
      <c r="AF29" s="130"/>
      <c r="AG29" s="130"/>
      <c r="AH29" s="130"/>
      <c r="AI29" s="130"/>
      <c r="AJ29" s="130"/>
      <c r="AL29" s="29"/>
      <c r="AM29" s="29"/>
      <c r="AN29" s="29"/>
      <c r="AO29" s="29"/>
      <c r="AP29" s="29"/>
      <c r="AQ29" s="29"/>
    </row>
    <row r="30" spans="1:43" ht="12.75">
      <c r="A30" s="29"/>
      <c r="B30" s="29"/>
      <c r="C30" s="29"/>
      <c r="D30" s="29"/>
      <c r="E30" s="29"/>
      <c r="F30" s="29"/>
      <c r="G30" s="29"/>
      <c r="H30" s="29"/>
      <c r="I30" s="29"/>
      <c r="J30" s="40"/>
      <c r="K30" s="82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130"/>
      <c r="AC30" s="130"/>
      <c r="AD30" s="130"/>
      <c r="AE30" s="130"/>
      <c r="AF30" s="130"/>
      <c r="AG30" s="130"/>
      <c r="AH30" s="130"/>
      <c r="AI30" s="130"/>
      <c r="AJ30" s="130"/>
      <c r="AL30" s="29"/>
      <c r="AM30" s="29"/>
      <c r="AN30" s="29"/>
      <c r="AO30" s="29"/>
      <c r="AP30" s="29"/>
      <c r="AQ30" s="29"/>
    </row>
    <row r="31" spans="1:43" ht="12.75">
      <c r="A31" s="130"/>
      <c r="B31" s="130"/>
      <c r="C31" s="130"/>
      <c r="D31" s="130"/>
      <c r="E31" s="130"/>
      <c r="F31" s="130"/>
      <c r="G31" s="130"/>
      <c r="H31" s="130"/>
      <c r="I31" s="130"/>
      <c r="J31" s="131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L31" s="29"/>
      <c r="AM31" s="29"/>
      <c r="AN31" s="29"/>
      <c r="AO31" s="29"/>
      <c r="AP31" s="29"/>
      <c r="AQ31" s="29"/>
    </row>
    <row r="32" spans="1:43" ht="12.75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L32" s="29"/>
      <c r="AM32" s="29"/>
      <c r="AN32" s="29"/>
      <c r="AO32" s="29"/>
      <c r="AP32" s="29"/>
      <c r="AQ32" s="29"/>
    </row>
    <row r="33" spans="1:43" ht="12.75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L33" s="29"/>
      <c r="AM33" s="29"/>
      <c r="AN33" s="29"/>
      <c r="AO33" s="29"/>
      <c r="AP33" s="29"/>
      <c r="AQ33" s="29"/>
    </row>
    <row r="34" spans="1:43" ht="12.75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L34" s="29"/>
      <c r="AM34" s="29"/>
      <c r="AN34" s="29"/>
      <c r="AO34" s="29"/>
      <c r="AP34" s="29"/>
      <c r="AQ34" s="29"/>
    </row>
    <row r="35" spans="1:43" ht="12.75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L35" s="29"/>
      <c r="AM35" s="29"/>
      <c r="AN35" s="29"/>
      <c r="AO35" s="29"/>
      <c r="AP35" s="29"/>
      <c r="AQ35" s="29"/>
    </row>
    <row r="36" spans="1:43" ht="12.75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L36" s="29"/>
      <c r="AM36" s="29"/>
      <c r="AN36" s="29"/>
      <c r="AO36" s="29"/>
      <c r="AP36" s="29"/>
      <c r="AQ36" s="29"/>
    </row>
    <row r="37" spans="1:36" ht="12.75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</row>
    <row r="38" spans="1:36" ht="12.75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</row>
    <row r="39" spans="1:36" ht="12.75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</row>
    <row r="40" spans="1:36" ht="12.75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</row>
    <row r="41" spans="1:36" ht="12.75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</row>
    <row r="42" spans="1:36" ht="12.75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</row>
    <row r="43" spans="1:36" ht="12.75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</row>
    <row r="44" spans="1:36" ht="12.75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</row>
    <row r="45" spans="1:36" ht="12.75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</row>
    <row r="46" spans="1:36" ht="12.75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</row>
    <row r="47" spans="1:36" ht="12.75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</row>
    <row r="48" spans="1:36" ht="12.75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</row>
    <row r="49" spans="1:36" ht="12.75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</row>
    <row r="50" spans="1:36" ht="12.75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</row>
    <row r="51" spans="1:36" ht="12.75">
      <c r="A51" s="130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</row>
    <row r="52" spans="1:27" ht="12.75">
      <c r="A52" s="130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</row>
  </sheetData>
  <sheetProtection sheet="1" objects="1" scenarios="1"/>
  <mergeCells count="5">
    <mergeCell ref="L9:L10"/>
    <mergeCell ref="I9:I10"/>
    <mergeCell ref="B6:H6"/>
    <mergeCell ref="J9:J10"/>
    <mergeCell ref="K9:K10"/>
  </mergeCells>
  <printOptions/>
  <pageMargins left="0.75" right="0.75" top="1" bottom="1" header="0" footer="0"/>
  <pageSetup horizontalDpi="300" verticalDpi="300" orientation="portrait" paperSize="9" r:id="rId4"/>
  <drawing r:id="rId3"/>
  <legacyDrawing r:id="rId2"/>
  <oleObjects>
    <oleObject progId="Equation.3" shapeId="61850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="75" zoomScaleNormal="75" workbookViewId="0" topLeftCell="A1">
      <selection activeCell="F35" sqref="F35"/>
    </sheetView>
  </sheetViews>
  <sheetFormatPr defaultColWidth="11.421875" defaultRowHeight="12.75"/>
  <cols>
    <col min="7" max="10" width="11.57421875" style="0" bestFit="1" customWidth="1"/>
    <col min="11" max="11" width="14.421875" style="0" bestFit="1" customWidth="1"/>
  </cols>
  <sheetData>
    <row r="1" spans="1:18" ht="12.75">
      <c r="A1" s="29"/>
      <c r="B1" s="29" t="s">
        <v>78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130"/>
      <c r="N1" s="130"/>
      <c r="O1" s="130"/>
      <c r="P1" s="130"/>
      <c r="Q1" s="130"/>
      <c r="R1" s="130"/>
    </row>
    <row r="2" spans="1:18" ht="12.75">
      <c r="A2" s="29"/>
      <c r="B2" s="29" t="s">
        <v>79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130"/>
      <c r="N2" s="130"/>
      <c r="O2" s="130"/>
      <c r="P2" s="130"/>
      <c r="Q2" s="130"/>
      <c r="R2" s="130"/>
    </row>
    <row r="3" spans="1:18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130"/>
      <c r="N3" s="130"/>
      <c r="O3" s="130"/>
      <c r="P3" s="130"/>
      <c r="Q3" s="130"/>
      <c r="R3" s="130"/>
    </row>
    <row r="4" spans="1:18" ht="13.5" thickBo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130"/>
      <c r="N4" s="130"/>
      <c r="O4" s="130"/>
      <c r="P4" s="130"/>
      <c r="Q4" s="130"/>
      <c r="R4" s="130"/>
    </row>
    <row r="5" spans="1:18" ht="14.25">
      <c r="A5" s="29"/>
      <c r="B5" s="73" t="str">
        <f>Informe!A9</f>
        <v>Fuerza </v>
      </c>
      <c r="C5" s="73" t="s">
        <v>0</v>
      </c>
      <c r="D5" s="73" t="str">
        <f>B5</f>
        <v>Fuerza </v>
      </c>
      <c r="E5" s="73" t="str">
        <f>C5</f>
        <v>Fuerza </v>
      </c>
      <c r="F5" s="66"/>
      <c r="G5" s="77" t="s">
        <v>74</v>
      </c>
      <c r="H5" s="73" t="s">
        <v>82</v>
      </c>
      <c r="I5" s="73" t="s">
        <v>95</v>
      </c>
      <c r="J5" s="79" t="s">
        <v>81</v>
      </c>
      <c r="K5" s="79" t="s">
        <v>96</v>
      </c>
      <c r="L5" s="29"/>
      <c r="M5" s="130"/>
      <c r="N5" s="130"/>
      <c r="O5" s="130"/>
      <c r="P5" s="130"/>
      <c r="Q5" s="130"/>
      <c r="R5" s="130"/>
    </row>
    <row r="6" spans="1:18" ht="13.5" thickBot="1">
      <c r="A6" s="29"/>
      <c r="B6" s="74" t="str">
        <f>Informe!A10</f>
        <v>KN</v>
      </c>
      <c r="C6" s="74" t="s">
        <v>92</v>
      </c>
      <c r="D6" s="74" t="s">
        <v>80</v>
      </c>
      <c r="E6" s="95" t="s">
        <v>93</v>
      </c>
      <c r="F6" s="67"/>
      <c r="G6" s="78"/>
      <c r="H6" s="76"/>
      <c r="I6" s="80"/>
      <c r="J6" s="80"/>
      <c r="K6" s="98"/>
      <c r="L6" s="29"/>
      <c r="M6" s="130"/>
      <c r="N6" s="130"/>
      <c r="O6" s="130"/>
      <c r="P6" s="130"/>
      <c r="Q6" s="130"/>
      <c r="R6" s="130"/>
    </row>
    <row r="7" spans="1:18" ht="12.75">
      <c r="A7" s="29"/>
      <c r="B7" s="64">
        <f>'calcul inc'!Z11</f>
        <v>10</v>
      </c>
      <c r="C7" s="94">
        <f>B7*1000</f>
        <v>10000</v>
      </c>
      <c r="D7" s="7">
        <f>B7*1000/$B$18</f>
        <v>1020.4732444671217</v>
      </c>
      <c r="E7" s="60">
        <f>C7/($B$18*1000)</f>
        <v>1.0204732444671216</v>
      </c>
      <c r="F7" s="29"/>
      <c r="G7" s="75">
        <f>'calcul inc'!X11</f>
        <v>0.021309026513935455</v>
      </c>
      <c r="H7" s="43">
        <f>B7*G7/100</f>
        <v>0.0021309026513935455</v>
      </c>
      <c r="I7" s="91">
        <f>C7*G7/100</f>
        <v>2.1309026513935456</v>
      </c>
      <c r="J7" s="91">
        <f>D7*G7/100</f>
        <v>0.21745291423111635</v>
      </c>
      <c r="K7" s="99">
        <f>E7*G7/100</f>
        <v>0.00021745291423111633</v>
      </c>
      <c r="L7" s="29"/>
      <c r="M7" s="130"/>
      <c r="N7" s="130"/>
      <c r="O7" s="130"/>
      <c r="P7" s="130"/>
      <c r="Q7" s="130"/>
      <c r="R7" s="130"/>
    </row>
    <row r="8" spans="1:18" ht="12.75">
      <c r="A8" s="29"/>
      <c r="B8" s="64">
        <f>'calcul inc'!Z12</f>
        <v>20</v>
      </c>
      <c r="C8" s="94">
        <f aca="true" t="shared" si="0" ref="C8:C16">B8*1000</f>
        <v>20000</v>
      </c>
      <c r="D8" s="7">
        <f aca="true" t="shared" si="1" ref="D8:D16">B8*1000/$B$18</f>
        <v>2040.9464889342435</v>
      </c>
      <c r="E8" s="60">
        <f aca="true" t="shared" si="2" ref="E8:E16">C8/($B$18*1000)</f>
        <v>2.0409464889342432</v>
      </c>
      <c r="F8" s="29"/>
      <c r="G8" s="59">
        <f>'calcul inc'!X12</f>
        <v>0.014719724208403387</v>
      </c>
      <c r="H8" s="7">
        <f aca="true" t="shared" si="3" ref="H8:H16">B8*G8/100</f>
        <v>0.0029439448416806774</v>
      </c>
      <c r="I8" s="91">
        <f aca="true" t="shared" si="4" ref="I8:I16">C8*G8/100</f>
        <v>2.9439448416806773</v>
      </c>
      <c r="J8" s="92">
        <f aca="true" t="shared" si="5" ref="J8:J16">D8*G8/100</f>
        <v>0.3004216944122128</v>
      </c>
      <c r="K8" s="99">
        <f aca="true" t="shared" si="6" ref="K8:K16">E8*G8/100</f>
        <v>0.0003004216944122128</v>
      </c>
      <c r="L8" s="29"/>
      <c r="M8" s="130"/>
      <c r="N8" s="130"/>
      <c r="O8" s="130"/>
      <c r="P8" s="130"/>
      <c r="Q8" s="130"/>
      <c r="R8" s="130"/>
    </row>
    <row r="9" spans="1:18" ht="12.75">
      <c r="A9" s="29"/>
      <c r="B9" s="64">
        <f>'calcul inc'!Z13</f>
        <v>30</v>
      </c>
      <c r="C9" s="94">
        <f t="shared" si="0"/>
        <v>30000</v>
      </c>
      <c r="D9" s="7">
        <f t="shared" si="1"/>
        <v>3061.419733401365</v>
      </c>
      <c r="E9" s="60">
        <f t="shared" si="2"/>
        <v>3.061419733401365</v>
      </c>
      <c r="F9" s="29"/>
      <c r="G9" s="59">
        <f>'calcul inc'!X13</f>
        <v>0.012077552978862706</v>
      </c>
      <c r="H9" s="7">
        <f t="shared" si="3"/>
        <v>0.003623265893658812</v>
      </c>
      <c r="I9" s="91">
        <f t="shared" si="4"/>
        <v>3.6232658936588122</v>
      </c>
      <c r="J9" s="92">
        <f t="shared" si="5"/>
        <v>0.3697445902069073</v>
      </c>
      <c r="K9" s="99">
        <f t="shared" si="6"/>
        <v>0.0003697445902069073</v>
      </c>
      <c r="L9" s="29"/>
      <c r="M9" s="130"/>
      <c r="N9" s="130"/>
      <c r="O9" s="130"/>
      <c r="P9" s="130"/>
      <c r="Q9" s="130"/>
      <c r="R9" s="130"/>
    </row>
    <row r="10" spans="1:18" ht="12.75">
      <c r="A10" s="29"/>
      <c r="B10" s="64">
        <f>'calcul inc'!Z14</f>
        <v>40</v>
      </c>
      <c r="C10" s="94">
        <f t="shared" si="0"/>
        <v>40000</v>
      </c>
      <c r="D10" s="7">
        <f t="shared" si="1"/>
        <v>4081.892977868487</v>
      </c>
      <c r="E10" s="60">
        <f t="shared" si="2"/>
        <v>4.0818929778684865</v>
      </c>
      <c r="F10" s="29"/>
      <c r="G10" s="59">
        <f>'calcul inc'!X14</f>
        <v>0.010472608558551397</v>
      </c>
      <c r="H10" s="7">
        <f t="shared" si="3"/>
        <v>0.004189043423420559</v>
      </c>
      <c r="I10" s="91">
        <f t="shared" si="4"/>
        <v>4.189043423420559</v>
      </c>
      <c r="J10" s="92">
        <f t="shared" si="5"/>
        <v>0.4274806733511637</v>
      </c>
      <c r="K10" s="99">
        <f t="shared" si="6"/>
        <v>0.0004274806733511636</v>
      </c>
      <c r="L10" s="29"/>
      <c r="M10" s="130"/>
      <c r="N10" s="130"/>
      <c r="O10" s="130"/>
      <c r="P10" s="130"/>
      <c r="Q10" s="130"/>
      <c r="R10" s="130"/>
    </row>
    <row r="11" spans="1:18" ht="12.75">
      <c r="A11" s="29"/>
      <c r="B11" s="64">
        <f>'calcul inc'!Z15</f>
        <v>50</v>
      </c>
      <c r="C11" s="94">
        <f t="shared" si="0"/>
        <v>50000</v>
      </c>
      <c r="D11" s="7">
        <f t="shared" si="1"/>
        <v>5102.366222335609</v>
      </c>
      <c r="E11" s="60">
        <f t="shared" si="2"/>
        <v>5.1023662223356085</v>
      </c>
      <c r="F11" s="29"/>
      <c r="G11" s="59">
        <f>'calcul inc'!X15</f>
        <v>0.0088026934124014</v>
      </c>
      <c r="H11" s="7">
        <f t="shared" si="3"/>
        <v>0.0044013467062007</v>
      </c>
      <c r="I11" s="91">
        <f t="shared" si="4"/>
        <v>4.4013467062007</v>
      </c>
      <c r="J11" s="92">
        <f t="shared" si="5"/>
        <v>0.44914565533013073</v>
      </c>
      <c r="K11" s="99">
        <f t="shared" si="6"/>
        <v>0.00044914565533013073</v>
      </c>
      <c r="L11" s="29"/>
      <c r="M11" s="130"/>
      <c r="N11" s="130"/>
      <c r="O11" s="130"/>
      <c r="P11" s="130"/>
      <c r="Q11" s="130"/>
      <c r="R11" s="130"/>
    </row>
    <row r="12" spans="1:18" ht="12.75">
      <c r="A12" s="29"/>
      <c r="B12" s="64">
        <f>'calcul inc'!Z16</f>
        <v>60</v>
      </c>
      <c r="C12" s="94">
        <f t="shared" si="0"/>
        <v>60000</v>
      </c>
      <c r="D12" s="7">
        <f t="shared" si="1"/>
        <v>6122.83946680273</v>
      </c>
      <c r="E12" s="60">
        <f t="shared" si="2"/>
        <v>6.12283946680273</v>
      </c>
      <c r="F12" s="29"/>
      <c r="G12" s="59">
        <f>'calcul inc'!X16</f>
        <v>0.0070386662297343095</v>
      </c>
      <c r="H12" s="7">
        <f t="shared" si="3"/>
        <v>0.004223199737840586</v>
      </c>
      <c r="I12" s="91">
        <f t="shared" si="4"/>
        <v>4.223199737840585</v>
      </c>
      <c r="J12" s="92">
        <f t="shared" si="5"/>
        <v>0.43096623385068805</v>
      </c>
      <c r="K12" s="99">
        <f t="shared" si="6"/>
        <v>0.00043096623385068797</v>
      </c>
      <c r="L12" s="29"/>
      <c r="M12" s="130"/>
      <c r="N12" s="130"/>
      <c r="O12" s="130"/>
      <c r="P12" s="130"/>
      <c r="Q12" s="130"/>
      <c r="R12" s="130"/>
    </row>
    <row r="13" spans="1:18" ht="12.75">
      <c r="A13" s="29"/>
      <c r="B13" s="64">
        <f>'calcul inc'!Z17</f>
        <v>70</v>
      </c>
      <c r="C13" s="94">
        <f t="shared" si="0"/>
        <v>70000</v>
      </c>
      <c r="D13" s="7">
        <f t="shared" si="1"/>
        <v>7143.312711269852</v>
      </c>
      <c r="E13" s="60">
        <f t="shared" si="2"/>
        <v>7.143312711269852</v>
      </c>
      <c r="F13" s="29"/>
      <c r="G13" s="59">
        <f>'calcul inc'!X17</f>
        <v>0.005613772084853144</v>
      </c>
      <c r="H13" s="7">
        <f t="shared" si="3"/>
        <v>0.003929640459397201</v>
      </c>
      <c r="I13" s="91">
        <f t="shared" si="4"/>
        <v>3.9296404593972003</v>
      </c>
      <c r="J13" s="92">
        <f t="shared" si="5"/>
        <v>0.4010092949190332</v>
      </c>
      <c r="K13" s="99">
        <f t="shared" si="6"/>
        <v>0.0004010092949190332</v>
      </c>
      <c r="L13" s="29"/>
      <c r="M13" s="130"/>
      <c r="N13" s="130"/>
      <c r="O13" s="130"/>
      <c r="P13" s="130"/>
      <c r="Q13" s="130"/>
      <c r="R13" s="130"/>
    </row>
    <row r="14" spans="1:18" ht="12.75">
      <c r="A14" s="29"/>
      <c r="B14" s="64">
        <f>'calcul inc'!Z18</f>
        <v>80</v>
      </c>
      <c r="C14" s="94">
        <f t="shared" si="0"/>
        <v>80000</v>
      </c>
      <c r="D14" s="7">
        <f t="shared" si="1"/>
        <v>8163.785955736974</v>
      </c>
      <c r="E14" s="60">
        <f t="shared" si="2"/>
        <v>8.163785955736973</v>
      </c>
      <c r="F14" s="29"/>
      <c r="G14" s="59">
        <f>'calcul inc'!X18</f>
        <v>0.004156430546578626</v>
      </c>
      <c r="H14" s="7">
        <f t="shared" si="3"/>
        <v>0.0033251444372629007</v>
      </c>
      <c r="I14" s="91">
        <f t="shared" si="4"/>
        <v>3.325144437262901</v>
      </c>
      <c r="J14" s="92">
        <f t="shared" si="5"/>
        <v>0.3393220932215474</v>
      </c>
      <c r="K14" s="99">
        <f t="shared" si="6"/>
        <v>0.00033932209322154737</v>
      </c>
      <c r="L14" s="29"/>
      <c r="M14" s="130"/>
      <c r="N14" s="130"/>
      <c r="O14" s="130"/>
      <c r="P14" s="130"/>
      <c r="Q14" s="130"/>
      <c r="R14" s="130"/>
    </row>
    <row r="15" spans="1:18" ht="12.75">
      <c r="A15" s="29"/>
      <c r="B15" s="64">
        <f>'calcul inc'!Z19</f>
        <v>90</v>
      </c>
      <c r="C15" s="94">
        <f t="shared" si="0"/>
        <v>90000</v>
      </c>
      <c r="D15" s="7">
        <f t="shared" si="1"/>
        <v>9184.259200204095</v>
      </c>
      <c r="E15" s="60">
        <f t="shared" si="2"/>
        <v>9.184259200204094</v>
      </c>
      <c r="F15" s="29"/>
      <c r="G15" s="59">
        <f>'calcul inc'!X19</f>
        <v>0.0034520247858611038</v>
      </c>
      <c r="H15" s="7">
        <f t="shared" si="3"/>
        <v>0.0031068223072749936</v>
      </c>
      <c r="I15" s="91">
        <f t="shared" si="4"/>
        <v>3.1068223072749936</v>
      </c>
      <c r="J15" s="92">
        <f t="shared" si="5"/>
        <v>0.3170429039887741</v>
      </c>
      <c r="K15" s="99">
        <f t="shared" si="6"/>
        <v>0.00031704290398877415</v>
      </c>
      <c r="L15" s="29"/>
      <c r="M15" s="130"/>
      <c r="N15" s="130"/>
      <c r="O15" s="130"/>
      <c r="P15" s="130"/>
      <c r="Q15" s="130"/>
      <c r="R15" s="130"/>
    </row>
    <row r="16" spans="1:18" ht="13.5" thickBot="1">
      <c r="A16" s="29"/>
      <c r="B16" s="65">
        <f>'calcul inc'!Z20</f>
        <v>100</v>
      </c>
      <c r="C16" s="96">
        <f t="shared" si="0"/>
        <v>100000</v>
      </c>
      <c r="D16" s="62">
        <f t="shared" si="1"/>
        <v>10204.732444671217</v>
      </c>
      <c r="E16" s="63">
        <f t="shared" si="2"/>
        <v>10.204732444671217</v>
      </c>
      <c r="F16" s="29"/>
      <c r="G16" s="61">
        <f>'calcul inc'!X20</f>
        <v>0.0031522067167308932</v>
      </c>
      <c r="H16" s="62">
        <f t="shared" si="3"/>
        <v>0.0031522067167308932</v>
      </c>
      <c r="I16" s="91">
        <f t="shared" si="4"/>
        <v>3.1522067167308934</v>
      </c>
      <c r="J16" s="93">
        <f t="shared" si="5"/>
        <v>0.32167426154534284</v>
      </c>
      <c r="K16" s="99">
        <f t="shared" si="6"/>
        <v>0.0003216742615453428</v>
      </c>
      <c r="L16" s="29"/>
      <c r="M16" s="130"/>
      <c r="N16" s="130"/>
      <c r="O16" s="130"/>
      <c r="P16" s="130"/>
      <c r="Q16" s="130"/>
      <c r="R16" s="130"/>
    </row>
    <row r="17" spans="1:18" ht="13.5" thickBo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130"/>
      <c r="N17" s="130"/>
      <c r="O17" s="130"/>
      <c r="P17" s="130"/>
      <c r="Q17" s="130"/>
      <c r="R17" s="130"/>
    </row>
    <row r="18" spans="1:18" ht="13.5" thickBot="1">
      <c r="A18" s="97" t="s">
        <v>94</v>
      </c>
      <c r="B18" s="58">
        <v>9.799375</v>
      </c>
      <c r="C18" s="44" t="s">
        <v>120</v>
      </c>
      <c r="D18" s="29"/>
      <c r="E18" s="29"/>
      <c r="F18" s="29"/>
      <c r="G18" s="29"/>
      <c r="H18" s="29"/>
      <c r="I18" s="29"/>
      <c r="J18" s="29"/>
      <c r="K18" s="29"/>
      <c r="L18" s="29"/>
      <c r="M18" s="130"/>
      <c r="N18" s="130"/>
      <c r="O18" s="130"/>
      <c r="P18" s="130"/>
      <c r="Q18" s="130"/>
      <c r="R18" s="130"/>
    </row>
    <row r="19" spans="1:18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130"/>
      <c r="N19" s="130"/>
      <c r="O19" s="130"/>
      <c r="P19" s="130"/>
      <c r="Q19" s="130"/>
      <c r="R19" s="130"/>
    </row>
    <row r="20" spans="1:18" ht="12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130"/>
      <c r="N20" s="130"/>
      <c r="O20" s="130"/>
      <c r="P20" s="130"/>
      <c r="Q20" s="130"/>
      <c r="R20" s="130"/>
    </row>
    <row r="21" spans="1:18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130"/>
      <c r="N21" s="130"/>
      <c r="O21" s="130"/>
      <c r="P21" s="130"/>
      <c r="Q21" s="130"/>
      <c r="R21" s="130"/>
    </row>
    <row r="22" spans="1:18" ht="12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130"/>
      <c r="N22" s="130"/>
      <c r="O22" s="130"/>
      <c r="P22" s="130"/>
      <c r="Q22" s="130"/>
      <c r="R22" s="130"/>
    </row>
    <row r="23" spans="1:18" ht="12.7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130"/>
      <c r="N23" s="130"/>
      <c r="O23" s="130"/>
      <c r="P23" s="130"/>
      <c r="Q23" s="130"/>
      <c r="R23" s="130"/>
    </row>
    <row r="24" spans="1:18" ht="12.75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</row>
    <row r="25" spans="1:18" ht="12.75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</row>
    <row r="26" spans="1:18" ht="12.75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</row>
    <row r="27" spans="1:18" ht="12.75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</row>
    <row r="28" spans="1:18" ht="12.75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</row>
    <row r="29" spans="1:18" ht="12.75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</row>
    <row r="30" spans="1:18" ht="12.75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</row>
    <row r="31" spans="1:18" ht="12.75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</row>
    <row r="32" spans="1:18" ht="12.75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</row>
    <row r="33" spans="1:18" ht="12.75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</row>
    <row r="34" spans="1:18" ht="12.75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</row>
    <row r="35" spans="1:18" ht="12.75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</row>
    <row r="36" spans="1:18" ht="12.75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</row>
    <row r="37" spans="1:18" ht="12.75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</row>
    <row r="38" spans="1:18" ht="12.75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</row>
    <row r="39" spans="1:18" ht="12.75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</row>
    <row r="40" spans="1:18" ht="12.75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</row>
    <row r="41" spans="1:18" ht="12.75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</row>
    <row r="42" spans="1:18" ht="12.75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</row>
    <row r="43" spans="1:18" ht="12.75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</row>
    <row r="44" spans="1:18" ht="12.75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</row>
  </sheetData>
  <sheetProtection sheet="1" objects="1" scenarios="1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Empresa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MicroTest</dc:creator>
  <cp:keywords/>
  <dc:description/>
  <cp:lastModifiedBy>Peri</cp:lastModifiedBy>
  <cp:lastPrinted>2003-04-22T15:45:15Z</cp:lastPrinted>
  <dcterms:created xsi:type="dcterms:W3CDTF">2000-10-06T16:15:34Z</dcterms:created>
  <dcterms:modified xsi:type="dcterms:W3CDTF">2003-09-28T18:57:06Z</dcterms:modified>
  <cp:category/>
  <cp:version/>
  <cp:contentType/>
  <cp:contentStatus/>
</cp:coreProperties>
</file>