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270" yWindow="65446" windowWidth="11340" windowHeight="7110" activeTab="0"/>
  </bookViews>
  <sheets>
    <sheet name="Toma datos" sheetId="1" r:id="rId1"/>
    <sheet name="Resultados 1" sheetId="2" r:id="rId2"/>
    <sheet name="calcul inc" sheetId="3" r:id="rId3"/>
    <sheet name="Lecturas" sheetId="4" r:id="rId4"/>
    <sheet name="resultados" sheetId="5" r:id="rId5"/>
    <sheet name="Auxiliar" sheetId="6" r:id="rId6"/>
  </sheets>
  <definedNames>
    <definedName name="CargaMaximaTransCal">'Toma datos'!$B$20</definedName>
    <definedName name="CargaMaximaTransPat">'Toma datos'!$B$30</definedName>
    <definedName name="Certificado">'Toma datos'!$B$7</definedName>
    <definedName name="FechaCalibracion">'Toma datos'!$G$13</definedName>
    <definedName name="Instrumento">'Toma datos'!$B$16</definedName>
    <definedName name="MarcaIndCal">'Toma datos'!$F$17</definedName>
    <definedName name="MarcaIndPat">'Toma datos'!$F$27</definedName>
    <definedName name="MarcaTransCal">'Toma datos'!$B$17</definedName>
    <definedName name="MarcaTransPat">'Toma datos'!$B$27</definedName>
    <definedName name="ModeloIndCal">'Toma datos'!$F$18</definedName>
    <definedName name="ModeloIndPat">'Toma datos'!$F$28</definedName>
    <definedName name="ModeloTransCal">'Toma datos'!$B$18</definedName>
    <definedName name="ModeloTransPat">'Toma datos'!$B$28</definedName>
    <definedName name="NormaCalibracion">'Toma datos'!$F$5</definedName>
    <definedName name="Peticionario">'Toma datos'!$B$8</definedName>
    <definedName name="SerieIndCal">'Toma datos'!$F$19</definedName>
    <definedName name="SerieIndPatron">'Toma datos'!$F$29</definedName>
    <definedName name="SerieTransCal">'Toma datos'!$B$19</definedName>
    <definedName name="SerieTransPat">'Toma datos'!$B$29</definedName>
    <definedName name="Tecnico">'Toma datos'!$B$61</definedName>
    <definedName name="Temperatura">'Toma datos'!#REF!</definedName>
    <definedName name="TipoCalibracion">'Toma datos'!$C$13</definedName>
    <definedName name="UniCargaMaximaTransCal">'Toma datos'!$C$20</definedName>
  </definedNames>
  <calcPr fullCalcOnLoad="1"/>
</workbook>
</file>

<file path=xl/sharedStrings.xml><?xml version="1.0" encoding="utf-8"?>
<sst xmlns="http://schemas.openxmlformats.org/spreadsheetml/2006/main" count="186" uniqueCount="156">
  <si>
    <t>Tipo de calibración:</t>
  </si>
  <si>
    <t>Tipo:</t>
  </si>
  <si>
    <t>Marca:</t>
  </si>
  <si>
    <t>Modelo:</t>
  </si>
  <si>
    <t>NºSerie:</t>
  </si>
  <si>
    <t>Capacidad nom.:</t>
  </si>
  <si>
    <t>Accesorios:</t>
  </si>
  <si>
    <t>Observaciones:</t>
  </si>
  <si>
    <t>Resolucion:</t>
  </si>
  <si>
    <t>Unidades:</t>
  </si>
  <si>
    <t xml:space="preserve">Fuerza </t>
  </si>
  <si>
    <t>Serie 1</t>
  </si>
  <si>
    <t>Serie 2</t>
  </si>
  <si>
    <t>Serie 3</t>
  </si>
  <si>
    <t>Serie 4</t>
  </si>
  <si>
    <t>INTRUMENTOS DE MEDIDA DE FUERZA</t>
  </si>
  <si>
    <t>Indicador digital</t>
  </si>
  <si>
    <t>kN</t>
  </si>
  <si>
    <t>mV/V</t>
  </si>
  <si>
    <t>Series de medidas</t>
  </si>
  <si>
    <r>
      <t>Error relativo de cero (f</t>
    </r>
    <r>
      <rPr>
        <b/>
        <u val="single"/>
        <vertAlign val="subscript"/>
        <sz val="10"/>
        <rFont val="Arial"/>
        <family val="2"/>
      </rPr>
      <t>0</t>
    </r>
    <r>
      <rPr>
        <b/>
        <u val="single"/>
        <sz val="10"/>
        <rFont val="Arial"/>
        <family val="2"/>
      </rPr>
      <t>)</t>
    </r>
  </si>
  <si>
    <t>SERIE</t>
  </si>
  <si>
    <r>
      <t>X</t>
    </r>
    <r>
      <rPr>
        <vertAlign val="subscript"/>
        <sz val="10"/>
        <rFont val="Arial"/>
        <family val="2"/>
      </rPr>
      <t>1</t>
    </r>
  </si>
  <si>
    <r>
      <t>X</t>
    </r>
    <r>
      <rPr>
        <vertAlign val="subscript"/>
        <sz val="10"/>
        <rFont val="Arial"/>
        <family val="2"/>
      </rPr>
      <t>2</t>
    </r>
  </si>
  <si>
    <r>
      <t>X</t>
    </r>
    <r>
      <rPr>
        <vertAlign val="subscript"/>
        <sz val="10"/>
        <rFont val="Arial"/>
        <family val="2"/>
      </rPr>
      <t>3</t>
    </r>
    <r>
      <rPr>
        <sz val="10"/>
        <rFont val="Arial"/>
        <family val="0"/>
      </rPr>
      <t>-X</t>
    </r>
    <r>
      <rPr>
        <vertAlign val="subscript"/>
        <sz val="10"/>
        <rFont val="Arial"/>
        <family val="2"/>
      </rPr>
      <t>4</t>
    </r>
  </si>
  <si>
    <r>
      <t>X</t>
    </r>
    <r>
      <rPr>
        <vertAlign val="subscript"/>
        <sz val="10"/>
        <rFont val="Arial"/>
        <family val="2"/>
      </rPr>
      <t>5</t>
    </r>
    <r>
      <rPr>
        <sz val="10"/>
        <rFont val="Arial"/>
        <family val="0"/>
      </rPr>
      <t>-X</t>
    </r>
    <r>
      <rPr>
        <vertAlign val="subscript"/>
        <sz val="10"/>
        <rFont val="Arial"/>
        <family val="2"/>
      </rPr>
      <t>6</t>
    </r>
  </si>
  <si>
    <r>
      <t>f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 xml:space="preserve"> (%)</t>
    </r>
  </si>
  <si>
    <r>
      <t>X</t>
    </r>
    <r>
      <rPr>
        <b/>
        <vertAlign val="subscript"/>
        <sz val="10"/>
        <rFont val="Arial"/>
        <family val="2"/>
      </rPr>
      <t>r</t>
    </r>
  </si>
  <si>
    <t>b(%)</t>
  </si>
  <si>
    <r>
      <t>X</t>
    </r>
    <r>
      <rPr>
        <b/>
        <vertAlign val="subscript"/>
        <sz val="10"/>
        <rFont val="Arial"/>
        <family val="2"/>
      </rPr>
      <t>wr</t>
    </r>
  </si>
  <si>
    <t>b´(%)</t>
  </si>
  <si>
    <t>v(%)</t>
  </si>
  <si>
    <r>
      <t>Errores relativos de repetibilidad con rotación (b) sin rotación (b´), de interpolación (f</t>
    </r>
    <r>
      <rPr>
        <b/>
        <u val="single"/>
        <vertAlign val="subscript"/>
        <sz val="10"/>
        <rFont val="Arial"/>
        <family val="2"/>
      </rPr>
      <t>c</t>
    </r>
    <r>
      <rPr>
        <b/>
        <u val="single"/>
        <sz val="10"/>
        <rFont val="Arial"/>
        <family val="2"/>
      </rPr>
      <t>) y de reversibilidad</t>
    </r>
  </si>
  <si>
    <r>
      <t>f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=(X</t>
    </r>
    <r>
      <rPr>
        <b/>
        <vertAlign val="subscript"/>
        <sz val="10"/>
        <rFont val="Arial"/>
        <family val="2"/>
      </rPr>
      <t>0</t>
    </r>
    <r>
      <rPr>
        <b/>
        <sz val="10"/>
        <rFont val="Arial"/>
        <family val="2"/>
      </rPr>
      <t>f/X</t>
    </r>
    <r>
      <rPr>
        <b/>
        <vertAlign val="subscript"/>
        <sz val="10"/>
        <rFont val="Arial"/>
        <family val="2"/>
      </rPr>
      <t>n</t>
    </r>
    <r>
      <rPr>
        <b/>
        <sz val="10"/>
        <rFont val="Arial"/>
        <family val="2"/>
      </rPr>
      <t>)*100</t>
    </r>
  </si>
  <si>
    <t>Polinomio de interpolación</t>
  </si>
  <si>
    <t xml:space="preserve"> El polinomio de Interpolación calculado por  el método de los mínimos cuadrados, con ajuste cúbico,</t>
  </si>
  <si>
    <t>será de la forma:</t>
  </si>
  <si>
    <r>
      <t>Xa=A+B*F+C*F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+D*F</t>
    </r>
    <r>
      <rPr>
        <vertAlign val="superscript"/>
        <sz val="10"/>
        <rFont val="Arial"/>
        <family val="2"/>
      </rPr>
      <t>3</t>
    </r>
  </si>
  <si>
    <t>donde:</t>
  </si>
  <si>
    <t>F: Valor de la fuerza aplicada en KN</t>
  </si>
  <si>
    <t>Xa=Valor de la deformación en mV/V</t>
  </si>
  <si>
    <t>A=</t>
  </si>
  <si>
    <t>B=</t>
  </si>
  <si>
    <t>C=</t>
  </si>
  <si>
    <t>D=</t>
  </si>
  <si>
    <t>CERTIFICADO DE CALIBRACION DE</t>
  </si>
  <si>
    <t>Xa</t>
  </si>
  <si>
    <t>Incertidumbre</t>
  </si>
  <si>
    <t>Para la evaluación de la incertidumbre se han tenido en cuenta:</t>
  </si>
  <si>
    <r>
      <t>error relativo de reversibilidad (v) error relativo del cero(f</t>
    </r>
    <r>
      <rPr>
        <vertAlign val="subscript"/>
        <sz val="10"/>
        <rFont val="Arial"/>
        <family val="2"/>
      </rPr>
      <t>0</t>
    </r>
    <r>
      <rPr>
        <sz val="10"/>
        <rFont val="Arial"/>
        <family val="0"/>
      </rPr>
      <t>)</t>
    </r>
  </si>
  <si>
    <t xml:space="preserve">*Errores relativos de repetibilidad con rotación (b) sin rotación (b´), error relativo de interpolación (fc)  </t>
  </si>
  <si>
    <t>*influencia debida a la resolución del instrumento</t>
  </si>
  <si>
    <t>* influencia de la incertidumbre de la propia máquina de calibración de fuerza.</t>
  </si>
  <si>
    <t>Las incertidumbres relativas expandidas ( con un factor de cobertura K=2) son:</t>
  </si>
  <si>
    <r>
      <t>w</t>
    </r>
    <r>
      <rPr>
        <b/>
        <vertAlign val="subscript"/>
        <sz val="10"/>
        <rFont val="Arial"/>
        <family val="2"/>
      </rPr>
      <t>b´</t>
    </r>
  </si>
  <si>
    <r>
      <t>w</t>
    </r>
    <r>
      <rPr>
        <b/>
        <vertAlign val="subscript"/>
        <sz val="10"/>
        <rFont val="Arial"/>
        <family val="2"/>
      </rPr>
      <t>mcf</t>
    </r>
  </si>
  <si>
    <r>
      <t>w</t>
    </r>
    <r>
      <rPr>
        <b/>
        <vertAlign val="subscript"/>
        <sz val="10"/>
        <rFont val="Arial"/>
        <family val="2"/>
      </rPr>
      <t>b</t>
    </r>
  </si>
  <si>
    <r>
      <t>w</t>
    </r>
    <r>
      <rPr>
        <b/>
        <vertAlign val="subscript"/>
        <sz val="10"/>
        <rFont val="Arial"/>
        <family val="2"/>
      </rPr>
      <t>f0</t>
    </r>
  </si>
  <si>
    <r>
      <t>w</t>
    </r>
    <r>
      <rPr>
        <b/>
        <vertAlign val="subscript"/>
        <sz val="10"/>
        <rFont val="Arial"/>
        <family val="2"/>
      </rPr>
      <t>v</t>
    </r>
  </si>
  <si>
    <r>
      <t>w</t>
    </r>
    <r>
      <rPr>
        <b/>
        <vertAlign val="subscript"/>
        <sz val="10"/>
        <rFont val="Arial"/>
        <family val="2"/>
      </rPr>
      <t>fc</t>
    </r>
  </si>
  <si>
    <r>
      <t>w</t>
    </r>
    <r>
      <rPr>
        <b/>
        <vertAlign val="subscript"/>
        <sz val="10"/>
        <rFont val="Arial"/>
        <family val="2"/>
      </rPr>
      <t>r</t>
    </r>
  </si>
  <si>
    <t>Contribución a la incertidumbre típica relativa (%)</t>
  </si>
  <si>
    <t xml:space="preserve"> Contribución a la Incertidumbre típica relativa (%)</t>
  </si>
  <si>
    <t>r=</t>
  </si>
  <si>
    <t>X1-0º</t>
  </si>
  <si>
    <t>X2-0º</t>
  </si>
  <si>
    <t>X3-120º</t>
  </si>
  <si>
    <t>X4-120º</t>
  </si>
  <si>
    <t>X5-240º</t>
  </si>
  <si>
    <t>X6-240º</t>
  </si>
  <si>
    <t>Valor del cero:</t>
  </si>
  <si>
    <t>X= deformaciones en mV/V</t>
  </si>
  <si>
    <t>Nota las indicaciones recogidas en la hoja LECTURAS permiten calcular las deformaciones como la diferencia entre la lectura bajo fuerza y la lectura sin fuerza inicial para cada una de las series</t>
  </si>
  <si>
    <t>Incertidumbre  relativa expandida (%)</t>
  </si>
  <si>
    <t>i1-0º</t>
  </si>
  <si>
    <t>i2-0º</t>
  </si>
  <si>
    <t>i3-120º</t>
  </si>
  <si>
    <t>i4-120º</t>
  </si>
  <si>
    <t>i5-240º</t>
  </si>
  <si>
    <t>i6-240º</t>
  </si>
  <si>
    <t>Series de medidas-posiciones angulares</t>
  </si>
  <si>
    <t xml:space="preserve">I= Indicaciones </t>
  </si>
  <si>
    <t>Expediente:</t>
  </si>
  <si>
    <t>Instrumento Patron:</t>
  </si>
  <si>
    <t>Indicador asociado:</t>
  </si>
  <si>
    <t>Nº de control:</t>
  </si>
  <si>
    <t>Técnico:</t>
  </si>
  <si>
    <t>Cargo:</t>
  </si>
  <si>
    <t>Instrumento a calibrar:</t>
  </si>
  <si>
    <t>E00041F</t>
  </si>
  <si>
    <t>Condiciones ambientales:</t>
  </si>
  <si>
    <t>Inicio:</t>
  </si>
  <si>
    <t>Final:</t>
  </si>
  <si>
    <t>inicio</t>
  </si>
  <si>
    <t>Final</t>
  </si>
  <si>
    <t>Temperatura</t>
  </si>
  <si>
    <t>DE ACUERDO CON:</t>
  </si>
  <si>
    <t>KN</t>
  </si>
  <si>
    <t xml:space="preserve">este valor es el cero tras la serie </t>
  </si>
  <si>
    <t>descendente</t>
  </si>
  <si>
    <t>Valor patrón</t>
  </si>
  <si>
    <t>Valores ajustados por el polinomio de interpolación</t>
  </si>
  <si>
    <t>Nº de Objeto de Ensayo:</t>
  </si>
  <si>
    <t>de</t>
  </si>
  <si>
    <t xml:space="preserve">Solicitante:                                                                                 </t>
  </si>
  <si>
    <t>Dirección:</t>
  </si>
  <si>
    <t>Localidad:</t>
  </si>
  <si>
    <t>Provincia:</t>
  </si>
  <si>
    <t>C.P:</t>
  </si>
  <si>
    <t>Humedad rel.</t>
  </si>
  <si>
    <t>Indicación a fuerza nula:</t>
  </si>
  <si>
    <t>Instrumento:</t>
  </si>
  <si>
    <t>Sistema de Generación de fuerza:</t>
  </si>
  <si>
    <t>Fuerza  de referencia (KN)</t>
  </si>
  <si>
    <t>INCERTIDUMBRES</t>
  </si>
  <si>
    <t>CLASIFICACIÓN</t>
  </si>
  <si>
    <t>0,06-0,12</t>
  </si>
  <si>
    <t>0,12-0,24</t>
  </si>
  <si>
    <t>0,24-0,45</t>
  </si>
  <si>
    <t>b</t>
  </si>
  <si>
    <t>b´</t>
  </si>
  <si>
    <t>u</t>
  </si>
  <si>
    <t xml:space="preserve">Deformación media con rotación                                                    </t>
  </si>
  <si>
    <t xml:space="preserve">Fecha de ejecución </t>
  </si>
  <si>
    <t>Cable asociado:</t>
  </si>
  <si>
    <t>Longitud:</t>
  </si>
  <si>
    <t>Sección:</t>
  </si>
  <si>
    <t>r(KN)=r(mV/V)*Fmax/Xrmax</t>
  </si>
  <si>
    <t>Valores máximos de error a utilizar en la clasificación según la norma UNE 7-474-95/3.</t>
  </si>
  <si>
    <t>Clase</t>
  </si>
  <si>
    <t>Límite superior</t>
  </si>
  <si>
    <t>Límite inferior</t>
  </si>
  <si>
    <t>Fuerza</t>
  </si>
  <si>
    <t>resultado</t>
  </si>
  <si>
    <t>Error relativo del instrumento de medida de fuerza, %</t>
  </si>
  <si>
    <t>de calibración</t>
  </si>
  <si>
    <t>de medida</t>
  </si>
  <si>
    <t xml:space="preserve">de </t>
  </si>
  <si>
    <t xml:space="preserve">Incert. </t>
  </si>
  <si>
    <t>repetibilidad</t>
  </si>
  <si>
    <t xml:space="preserve"> interpolación</t>
  </si>
  <si>
    <t>de cero</t>
  </si>
  <si>
    <t>reversivilidad</t>
  </si>
  <si>
    <r>
      <t>(W</t>
    </r>
    <r>
      <rPr>
        <vertAlign val="subscript"/>
        <sz val="10"/>
        <rFont val="Arial"/>
        <family val="2"/>
      </rPr>
      <t>mcf</t>
    </r>
    <r>
      <rPr>
        <sz val="10"/>
        <rFont val="Arial"/>
        <family val="0"/>
      </rPr>
      <t>)</t>
    </r>
  </si>
  <si>
    <t>calibrac</t>
  </si>
  <si>
    <r>
      <t>f</t>
    </r>
    <r>
      <rPr>
        <vertAlign val="subscript"/>
        <sz val="10"/>
        <rFont val="Arial"/>
        <family val="2"/>
      </rPr>
      <t>c</t>
    </r>
  </si>
  <si>
    <r>
      <t>f</t>
    </r>
    <r>
      <rPr>
        <vertAlign val="subscript"/>
        <sz val="10"/>
        <rFont val="Arial"/>
        <family val="2"/>
      </rPr>
      <t>0</t>
    </r>
  </si>
  <si>
    <t>min-max %</t>
  </si>
  <si>
    <t>±0,025</t>
  </si>
  <si>
    <t>±0,012</t>
  </si>
  <si>
    <r>
      <t>(W</t>
    </r>
    <r>
      <rPr>
        <vertAlign val="subscript"/>
        <sz val="11"/>
        <rFont val="Arial"/>
        <family val="2"/>
      </rPr>
      <t>mcf</t>
    </r>
    <r>
      <rPr>
        <sz val="11"/>
        <rFont val="Arial"/>
        <family val="2"/>
      </rPr>
      <t>)-0,06</t>
    </r>
  </si>
  <si>
    <t>±0,05</t>
  </si>
  <si>
    <t>±0,10</t>
  </si>
  <si>
    <t>±0,20</t>
  </si>
  <si>
    <t>±0,1</t>
  </si>
  <si>
    <r>
      <t>f</t>
    </r>
    <r>
      <rPr>
        <b/>
        <vertAlign val="subscript"/>
        <sz val="10"/>
        <rFont val="Arial"/>
        <family val="2"/>
      </rPr>
      <t>c</t>
    </r>
    <r>
      <rPr>
        <b/>
        <sz val="10"/>
        <rFont val="Arial"/>
        <family val="2"/>
      </rPr>
      <t>(%)</t>
    </r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</si>
</sst>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_-* #,##0\ _p_t_a_-;\-* #,##0\ _p_t_a_-;_-* &quot;-&quot;\ _p_t_a_-;_-@_-"/>
    <numFmt numFmtId="173" formatCode="_-* #,##0.00\ _p_t_a_-;\-* #,##0.00\ _p_t_a_-;_-* &quot;-&quot;??\ _p_t_a_-;_-@_-"/>
    <numFmt numFmtId="174" formatCode="0.00000"/>
    <numFmt numFmtId="175" formatCode="0.E+00"/>
    <numFmt numFmtId="176" formatCode="0.0000000E+00"/>
    <numFmt numFmtId="177" formatCode="0.000000E+00"/>
    <numFmt numFmtId="178" formatCode="0.00000000E+00"/>
    <numFmt numFmtId="179" formatCode="0.0000000000"/>
    <numFmt numFmtId="180" formatCode="0.000"/>
    <numFmt numFmtId="181" formatCode="0.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0.0000"/>
    <numFmt numFmtId="186" formatCode="0.000000"/>
    <numFmt numFmtId="187" formatCode="00000"/>
    <numFmt numFmtId="188" formatCode="0.0000000"/>
    <numFmt numFmtId="189" formatCode="0.00000000"/>
    <numFmt numFmtId="190" formatCode="0.000000000"/>
  </numFmts>
  <fonts count="2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24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u val="single"/>
      <vertAlign val="subscript"/>
      <sz val="10"/>
      <name val="Arial"/>
      <family val="2"/>
    </font>
    <font>
      <vertAlign val="subscript"/>
      <sz val="10"/>
      <name val="Arial"/>
      <family val="2"/>
    </font>
    <font>
      <b/>
      <vertAlign val="subscript"/>
      <sz val="10"/>
      <name val="Arial"/>
      <family val="2"/>
    </font>
    <font>
      <vertAlign val="superscript"/>
      <sz val="10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vertAlign val="subscript"/>
      <sz val="11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6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270">
    <xf numFmtId="0" fontId="0" fillId="0" borderId="0" xfId="0" applyAlignment="1">
      <alignment/>
    </xf>
    <xf numFmtId="0" fontId="0" fillId="0" borderId="1" xfId="0" applyNumberFormat="1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4" xfId="0" applyBorder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5" fillId="0" borderId="0" xfId="0" applyFont="1" applyFill="1" applyBorder="1" applyAlignment="1">
      <alignment horizontal="left"/>
    </xf>
    <xf numFmtId="0" fontId="5" fillId="2" borderId="5" xfId="0" applyNumberFormat="1" applyFont="1" applyFill="1" applyBorder="1" applyAlignment="1">
      <alignment horizontal="center"/>
    </xf>
    <xf numFmtId="0" fontId="5" fillId="2" borderId="6" xfId="0" applyNumberFormat="1" applyFont="1" applyFill="1" applyBorder="1" applyAlignment="1">
      <alignment horizontal="center"/>
    </xf>
    <xf numFmtId="0" fontId="0" fillId="2" borderId="7" xfId="0" applyNumberForma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0" fillId="0" borderId="4" xfId="0" applyFill="1" applyBorder="1" applyAlignment="1">
      <alignment/>
    </xf>
    <xf numFmtId="0" fontId="0" fillId="3" borderId="0" xfId="0" applyFill="1" applyAlignment="1">
      <alignment/>
    </xf>
    <xf numFmtId="0" fontId="0" fillId="3" borderId="0" xfId="0" applyFill="1" applyBorder="1" applyAlignment="1">
      <alignment/>
    </xf>
    <xf numFmtId="0" fontId="0" fillId="3" borderId="10" xfId="0" applyNumberFormat="1" applyFill="1" applyBorder="1" applyAlignment="1">
      <alignment/>
    </xf>
    <xf numFmtId="0" fontId="0" fillId="3" borderId="0" xfId="0" applyNumberFormat="1" applyFill="1" applyBorder="1" applyAlignment="1">
      <alignment/>
    </xf>
    <xf numFmtId="0" fontId="6" fillId="3" borderId="0" xfId="0" applyNumberFormat="1" applyFont="1" applyFill="1" applyBorder="1" applyAlignment="1">
      <alignment/>
    </xf>
    <xf numFmtId="0" fontId="5" fillId="3" borderId="0" xfId="0" applyNumberFormat="1" applyFont="1" applyFill="1" applyBorder="1" applyAlignment="1">
      <alignment/>
    </xf>
    <xf numFmtId="0" fontId="5" fillId="3" borderId="0" xfId="0" applyNumberFormat="1" applyFont="1" applyFill="1" applyBorder="1" applyAlignment="1">
      <alignment horizontal="center"/>
    </xf>
    <xf numFmtId="0" fontId="5" fillId="3" borderId="0" xfId="0" applyFont="1" applyFill="1" applyAlignment="1">
      <alignment/>
    </xf>
    <xf numFmtId="0" fontId="6" fillId="3" borderId="0" xfId="0" applyFont="1" applyFill="1" applyAlignment="1">
      <alignment/>
    </xf>
    <xf numFmtId="0" fontId="0" fillId="4" borderId="2" xfId="0" applyNumberFormat="1" applyFill="1" applyBorder="1" applyAlignment="1">
      <alignment/>
    </xf>
    <xf numFmtId="0" fontId="0" fillId="4" borderId="11" xfId="0" applyNumberFormat="1" applyFill="1" applyBorder="1" applyAlignment="1">
      <alignment/>
    </xf>
    <xf numFmtId="0" fontId="0" fillId="0" borderId="2" xfId="0" applyNumberFormat="1" applyFill="1" applyBorder="1" applyAlignment="1">
      <alignment/>
    </xf>
    <xf numFmtId="0" fontId="5" fillId="3" borderId="12" xfId="0" applyNumberFormat="1" applyFont="1" applyFill="1" applyBorder="1" applyAlignment="1">
      <alignment/>
    </xf>
    <xf numFmtId="0" fontId="0" fillId="3" borderId="12" xfId="0" applyNumberFormat="1" applyFill="1" applyBorder="1" applyAlignment="1">
      <alignment/>
    </xf>
    <xf numFmtId="0" fontId="0" fillId="0" borderId="4" xfId="0" applyNumberFormat="1" applyFill="1" applyBorder="1" applyAlignment="1">
      <alignment horizontal="right"/>
    </xf>
    <xf numFmtId="0" fontId="0" fillId="0" borderId="4" xfId="0" applyNumberFormat="1" applyBorder="1" applyAlignment="1">
      <alignment/>
    </xf>
    <xf numFmtId="0" fontId="0" fillId="3" borderId="13" xfId="0" applyNumberFormat="1" applyFill="1" applyBorder="1" applyAlignment="1">
      <alignment/>
    </xf>
    <xf numFmtId="0" fontId="0" fillId="3" borderId="10" xfId="0" applyFill="1" applyBorder="1" applyAlignment="1">
      <alignment/>
    </xf>
    <xf numFmtId="0" fontId="0" fillId="0" borderId="0" xfId="0" applyBorder="1" applyAlignment="1">
      <alignment/>
    </xf>
    <xf numFmtId="0" fontId="0" fillId="0" borderId="14" xfId="0" applyNumberFormat="1" applyBorder="1" applyAlignment="1">
      <alignment/>
    </xf>
    <xf numFmtId="0" fontId="6" fillId="3" borderId="10" xfId="0" applyNumberFormat="1" applyFont="1" applyFill="1" applyBorder="1" applyAlignment="1">
      <alignment/>
    </xf>
    <xf numFmtId="0" fontId="5" fillId="3" borderId="10" xfId="0" applyNumberFormat="1" applyFont="1" applyFill="1" applyBorder="1" applyAlignment="1">
      <alignment/>
    </xf>
    <xf numFmtId="0" fontId="5" fillId="2" borderId="15" xfId="0" applyNumberFormat="1" applyFont="1" applyFill="1" applyBorder="1" applyAlignment="1">
      <alignment horizontal="center"/>
    </xf>
    <xf numFmtId="0" fontId="0" fillId="2" borderId="16" xfId="0" applyNumberFormat="1" applyFill="1" applyBorder="1" applyAlignment="1">
      <alignment horizontal="center"/>
    </xf>
    <xf numFmtId="0" fontId="5" fillId="3" borderId="13" xfId="0" applyNumberFormat="1" applyFont="1" applyFill="1" applyBorder="1" applyAlignment="1">
      <alignment horizontal="center"/>
    </xf>
    <xf numFmtId="0" fontId="0" fillId="3" borderId="13" xfId="0" applyFill="1" applyBorder="1" applyAlignment="1">
      <alignment/>
    </xf>
    <xf numFmtId="0" fontId="0" fillId="3" borderId="17" xfId="0" applyFill="1" applyBorder="1" applyAlignment="1">
      <alignment/>
    </xf>
    <xf numFmtId="0" fontId="0" fillId="5" borderId="0" xfId="0" applyFill="1" applyAlignment="1">
      <alignment/>
    </xf>
    <xf numFmtId="0" fontId="0" fillId="5" borderId="0" xfId="0" applyFill="1" applyBorder="1" applyAlignment="1">
      <alignment/>
    </xf>
    <xf numFmtId="0" fontId="0" fillId="0" borderId="18" xfId="0" applyNumberFormat="1" applyBorder="1" applyAlignment="1">
      <alignment/>
    </xf>
    <xf numFmtId="174" fontId="0" fillId="4" borderId="4" xfId="18" applyNumberFormat="1" applyFont="1" applyFill="1" applyBorder="1" applyAlignment="1" applyProtection="1">
      <alignment/>
      <protection locked="0"/>
    </xf>
    <xf numFmtId="174" fontId="0" fillId="4" borderId="19" xfId="18" applyNumberFormat="1" applyFont="1" applyFill="1" applyBorder="1" applyAlignment="1" applyProtection="1">
      <alignment/>
      <protection locked="0"/>
    </xf>
    <xf numFmtId="174" fontId="0" fillId="4" borderId="20" xfId="18" applyNumberFormat="1" applyFont="1" applyFill="1" applyBorder="1" applyAlignment="1" applyProtection="1">
      <alignment/>
      <protection locked="0"/>
    </xf>
    <xf numFmtId="174" fontId="0" fillId="4" borderId="21" xfId="18" applyNumberFormat="1" applyFont="1" applyFill="1" applyBorder="1" applyAlignment="1" applyProtection="1">
      <alignment/>
      <protection locked="0"/>
    </xf>
    <xf numFmtId="174" fontId="0" fillId="4" borderId="22" xfId="18" applyNumberFormat="1" applyFont="1" applyFill="1" applyBorder="1" applyAlignment="1" applyProtection="1">
      <alignment/>
      <protection locked="0"/>
    </xf>
    <xf numFmtId="174" fontId="0" fillId="3" borderId="22" xfId="18" applyNumberFormat="1" applyFont="1" applyFill="1" applyBorder="1" applyAlignment="1" applyProtection="1">
      <alignment/>
      <protection locked="0"/>
    </xf>
    <xf numFmtId="174" fontId="0" fillId="3" borderId="23" xfId="18" applyNumberFormat="1" applyFont="1" applyFill="1" applyBorder="1" applyAlignment="1" applyProtection="1">
      <alignment/>
      <protection locked="0"/>
    </xf>
    <xf numFmtId="174" fontId="0" fillId="3" borderId="19" xfId="18" applyNumberFormat="1" applyFont="1" applyFill="1" applyBorder="1" applyAlignment="1" applyProtection="1">
      <alignment/>
      <protection locked="0"/>
    </xf>
    <xf numFmtId="174" fontId="0" fillId="3" borderId="20" xfId="18" applyNumberFormat="1" applyFont="1" applyFill="1" applyBorder="1" applyAlignment="1" applyProtection="1">
      <alignment/>
      <protection locked="0"/>
    </xf>
    <xf numFmtId="174" fontId="0" fillId="3" borderId="4" xfId="18" applyNumberFormat="1" applyFont="1" applyFill="1" applyBorder="1" applyAlignment="1" applyProtection="1">
      <alignment/>
      <protection locked="0"/>
    </xf>
    <xf numFmtId="0" fontId="0" fillId="3" borderId="24" xfId="0" applyNumberFormat="1" applyFill="1" applyBorder="1" applyAlignment="1">
      <alignment/>
    </xf>
    <xf numFmtId="0" fontId="0" fillId="3" borderId="17" xfId="0" applyNumberFormat="1" applyFill="1" applyBorder="1" applyAlignment="1">
      <alignment/>
    </xf>
    <xf numFmtId="0" fontId="15" fillId="3" borderId="0" xfId="0" applyFont="1" applyFill="1" applyAlignment="1">
      <alignment horizontal="center"/>
    </xf>
    <xf numFmtId="0" fontId="0" fillId="0" borderId="25" xfId="0" applyNumberFormat="1" applyFill="1" applyBorder="1" applyAlignment="1">
      <alignment/>
    </xf>
    <xf numFmtId="0" fontId="15" fillId="3" borderId="26" xfId="0" applyFont="1" applyFill="1" applyBorder="1" applyAlignment="1">
      <alignment horizontal="justify" vertical="top" wrapText="1"/>
    </xf>
    <xf numFmtId="0" fontId="16" fillId="3" borderId="4" xfId="0" applyFont="1" applyFill="1" applyBorder="1" applyAlignment="1">
      <alignment horizontal="justify" vertical="top" wrapText="1"/>
    </xf>
    <xf numFmtId="0" fontId="14" fillId="0" borderId="4" xfId="0" applyFont="1" applyBorder="1" applyAlignment="1">
      <alignment horizontal="justify" vertical="top" wrapText="1"/>
    </xf>
    <xf numFmtId="0" fontId="16" fillId="3" borderId="4" xfId="0" applyFont="1" applyFill="1" applyBorder="1" applyAlignment="1">
      <alignment horizontal="center" vertical="top" wrapText="1"/>
    </xf>
    <xf numFmtId="0" fontId="0" fillId="4" borderId="27" xfId="0" applyNumberFormat="1" applyFill="1" applyBorder="1" applyAlignment="1">
      <alignment/>
    </xf>
    <xf numFmtId="0" fontId="0" fillId="4" borderId="12" xfId="0" applyNumberFormat="1" applyFill="1" applyBorder="1" applyAlignment="1">
      <alignment/>
    </xf>
    <xf numFmtId="0" fontId="0" fillId="4" borderId="24" xfId="0" applyNumberFormat="1" applyFill="1" applyBorder="1" applyAlignment="1">
      <alignment/>
    </xf>
    <xf numFmtId="0" fontId="0" fillId="4" borderId="1" xfId="0" applyNumberFormat="1" applyFill="1" applyBorder="1" applyAlignment="1">
      <alignment/>
    </xf>
    <xf numFmtId="0" fontId="0" fillId="4" borderId="7" xfId="0" applyNumberFormat="1" applyFill="1" applyBorder="1" applyAlignment="1">
      <alignment horizontal="center"/>
    </xf>
    <xf numFmtId="0" fontId="0" fillId="4" borderId="25" xfId="0" applyNumberFormat="1" applyFill="1" applyBorder="1" applyAlignment="1">
      <alignment horizontal="center"/>
    </xf>
    <xf numFmtId="2" fontId="0" fillId="4" borderId="28" xfId="0" applyNumberFormat="1" applyFill="1" applyBorder="1" applyAlignment="1">
      <alignment horizontal="center"/>
    </xf>
    <xf numFmtId="2" fontId="0" fillId="4" borderId="29" xfId="0" applyNumberFormat="1" applyFill="1" applyBorder="1" applyAlignment="1">
      <alignment horizontal="center"/>
    </xf>
    <xf numFmtId="1" fontId="0" fillId="4" borderId="30" xfId="0" applyNumberFormat="1" applyFill="1" applyBorder="1" applyAlignment="1">
      <alignment horizontal="center"/>
    </xf>
    <xf numFmtId="0" fontId="0" fillId="0" borderId="12" xfId="0" applyNumberFormat="1" applyFill="1" applyBorder="1" applyAlignment="1">
      <alignment horizontal="right"/>
    </xf>
    <xf numFmtId="0" fontId="5" fillId="2" borderId="31" xfId="0" applyNumberFormat="1" applyFont="1" applyFill="1" applyBorder="1" applyAlignment="1">
      <alignment horizontal="center"/>
    </xf>
    <xf numFmtId="0" fontId="0" fillId="2" borderId="32" xfId="0" applyNumberFormat="1" applyFill="1" applyBorder="1" applyAlignment="1">
      <alignment horizontal="center"/>
    </xf>
    <xf numFmtId="0" fontId="0" fillId="4" borderId="0" xfId="0" applyFill="1" applyAlignment="1">
      <alignment/>
    </xf>
    <xf numFmtId="0" fontId="5" fillId="2" borderId="32" xfId="0" applyNumberFormat="1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2" fontId="5" fillId="0" borderId="4" xfId="0" applyNumberFormat="1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4" borderId="25" xfId="0" applyNumberFormat="1" applyFill="1" applyBorder="1" applyAlignment="1">
      <alignment horizontal="right"/>
    </xf>
    <xf numFmtId="0" fontId="18" fillId="6" borderId="4" xfId="21" applyFont="1" applyFill="1" applyBorder="1" applyAlignment="1">
      <alignment horizontal="right" vertical="center" wrapText="1"/>
      <protection/>
    </xf>
    <xf numFmtId="0" fontId="17" fillId="6" borderId="4" xfId="21" applyFont="1" applyFill="1" applyBorder="1" applyAlignment="1">
      <alignment horizontal="center" vertical="center"/>
      <protection/>
    </xf>
    <xf numFmtId="0" fontId="18" fillId="3" borderId="0" xfId="21" applyFont="1" applyFill="1" applyAlignment="1">
      <alignment horizontal="right" vertical="center" wrapText="1"/>
      <protection/>
    </xf>
    <xf numFmtId="0" fontId="0" fillId="3" borderId="0" xfId="21" applyFont="1" applyFill="1" applyBorder="1" applyAlignment="1" applyProtection="1">
      <alignment horizontal="center" vertical="center"/>
      <protection locked="0"/>
    </xf>
    <xf numFmtId="0" fontId="0" fillId="3" borderId="0" xfId="21" applyFont="1" applyFill="1" applyBorder="1" applyAlignment="1" applyProtection="1">
      <alignment horizontal="left" vertical="center"/>
      <protection locked="0"/>
    </xf>
    <xf numFmtId="0" fontId="5" fillId="3" borderId="0" xfId="0" applyFont="1" applyFill="1" applyBorder="1" applyAlignment="1">
      <alignment horizontal="left" vertical="center"/>
    </xf>
    <xf numFmtId="0" fontId="5" fillId="3" borderId="0" xfId="0" applyNumberFormat="1" applyFont="1" applyFill="1" applyBorder="1" applyAlignment="1">
      <alignment/>
    </xf>
    <xf numFmtId="0" fontId="0" fillId="4" borderId="35" xfId="0" applyNumberFormat="1" applyFill="1" applyBorder="1" applyAlignment="1">
      <alignment/>
    </xf>
    <xf numFmtId="0" fontId="17" fillId="5" borderId="0" xfId="21" applyFont="1" applyFill="1" applyBorder="1" applyAlignment="1" applyProtection="1">
      <alignment horizontal="center" vertical="center"/>
      <protection locked="0"/>
    </xf>
    <xf numFmtId="0" fontId="16" fillId="5" borderId="0" xfId="21" applyFont="1" applyFill="1" applyBorder="1" applyAlignment="1">
      <alignment horizontal="right" vertical="center"/>
      <protection/>
    </xf>
    <xf numFmtId="0" fontId="0" fillId="0" borderId="4" xfId="0" applyFill="1" applyBorder="1" applyAlignment="1">
      <alignment/>
    </xf>
    <xf numFmtId="0" fontId="0" fillId="3" borderId="0" xfId="0" applyFill="1" applyBorder="1" applyAlignment="1">
      <alignment/>
    </xf>
    <xf numFmtId="0" fontId="5" fillId="3" borderId="0" xfId="0" applyFont="1" applyFill="1" applyBorder="1" applyAlignment="1">
      <alignment horizontal="center"/>
    </xf>
    <xf numFmtId="0" fontId="5" fillId="3" borderId="17" xfId="0" applyNumberFormat="1" applyFont="1" applyFill="1" applyBorder="1" applyAlignment="1">
      <alignment/>
    </xf>
    <xf numFmtId="0" fontId="0" fillId="3" borderId="17" xfId="0" applyFill="1" applyBorder="1" applyAlignment="1">
      <alignment horizontal="center"/>
    </xf>
    <xf numFmtId="0" fontId="5" fillId="3" borderId="17" xfId="0" applyFont="1" applyFill="1" applyBorder="1" applyAlignment="1">
      <alignment horizontal="center"/>
    </xf>
    <xf numFmtId="0" fontId="0" fillId="3" borderId="17" xfId="0" applyFill="1" applyBorder="1" applyAlignment="1">
      <alignment/>
    </xf>
    <xf numFmtId="0" fontId="14" fillId="0" borderId="4" xfId="0" applyFont="1" applyFill="1" applyBorder="1" applyAlignment="1">
      <alignment horizontal="justify" vertical="top" wrapText="1"/>
    </xf>
    <xf numFmtId="0" fontId="15" fillId="3" borderId="0" xfId="0" applyFont="1" applyFill="1" applyBorder="1" applyAlignment="1">
      <alignment horizontal="center"/>
    </xf>
    <xf numFmtId="0" fontId="15" fillId="3" borderId="8" xfId="0" applyFont="1" applyFill="1" applyBorder="1" applyAlignment="1">
      <alignment horizontal="left" vertical="center"/>
    </xf>
    <xf numFmtId="0" fontId="0" fillId="0" borderId="27" xfId="0" applyFont="1" applyBorder="1" applyAlignment="1">
      <alignment horizontal="center"/>
    </xf>
    <xf numFmtId="0" fontId="14" fillId="0" borderId="34" xfId="0" applyFont="1" applyBorder="1" applyAlignment="1">
      <alignment horizontal="center" vertical="center" wrapText="1"/>
    </xf>
    <xf numFmtId="2" fontId="0" fillId="3" borderId="0" xfId="0" applyNumberFormat="1" applyFont="1" applyFill="1" applyBorder="1" applyAlignment="1">
      <alignment horizontal="center"/>
    </xf>
    <xf numFmtId="2" fontId="0" fillId="0" borderId="36" xfId="0" applyNumberFormat="1" applyFont="1" applyBorder="1" applyAlignment="1">
      <alignment horizontal="center"/>
    </xf>
    <xf numFmtId="2" fontId="0" fillId="0" borderId="37" xfId="0" applyNumberFormat="1" applyFont="1" applyBorder="1" applyAlignment="1">
      <alignment horizontal="center"/>
    </xf>
    <xf numFmtId="0" fontId="0" fillId="3" borderId="0" xfId="0" applyFill="1" applyAlignment="1">
      <alignment wrapText="1"/>
    </xf>
    <xf numFmtId="0" fontId="0" fillId="0" borderId="36" xfId="0" applyFont="1" applyBorder="1" applyAlignment="1">
      <alignment horizontal="center"/>
    </xf>
    <xf numFmtId="0" fontId="16" fillId="3" borderId="0" xfId="21" applyFont="1" applyFill="1" applyBorder="1" applyAlignment="1">
      <alignment horizontal="left" vertical="center"/>
      <protection/>
    </xf>
    <xf numFmtId="0" fontId="17" fillId="3" borderId="0" xfId="21" applyFont="1" applyFill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>
      <alignment/>
    </xf>
    <xf numFmtId="187" fontId="17" fillId="5" borderId="0" xfId="21" applyNumberFormat="1" applyFont="1" applyFill="1" applyBorder="1" applyAlignment="1" applyProtection="1">
      <alignment horizontal="left" vertical="center"/>
      <protection locked="0"/>
    </xf>
    <xf numFmtId="0" fontId="16" fillId="3" borderId="0" xfId="21" applyFont="1" applyFill="1" applyBorder="1" applyAlignment="1">
      <alignment horizontal="right" vertical="center"/>
      <protection/>
    </xf>
    <xf numFmtId="0" fontId="0" fillId="3" borderId="38" xfId="0" applyNumberFormat="1" applyFill="1" applyBorder="1" applyAlignment="1">
      <alignment/>
    </xf>
    <xf numFmtId="0" fontId="0" fillId="4" borderId="4" xfId="0" applyNumberFormat="1" applyFill="1" applyBorder="1" applyAlignment="1">
      <alignment/>
    </xf>
    <xf numFmtId="0" fontId="0" fillId="4" borderId="39" xfId="0" applyNumberFormat="1" applyFill="1" applyBorder="1" applyAlignment="1">
      <alignment/>
    </xf>
    <xf numFmtId="0" fontId="0" fillId="4" borderId="40" xfId="0" applyNumberFormat="1" applyFill="1" applyBorder="1" applyAlignment="1">
      <alignment/>
    </xf>
    <xf numFmtId="0" fontId="0" fillId="4" borderId="41" xfId="0" applyNumberFormat="1" applyFill="1" applyBorder="1" applyAlignment="1">
      <alignment/>
    </xf>
    <xf numFmtId="0" fontId="5" fillId="0" borderId="28" xfId="0" applyFont="1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5" fillId="0" borderId="30" xfId="0" applyFont="1" applyFill="1" applyBorder="1" applyAlignment="1">
      <alignment horizontal="center"/>
    </xf>
    <xf numFmtId="2" fontId="0" fillId="0" borderId="34" xfId="0" applyNumberFormat="1" applyFill="1" applyBorder="1" applyAlignment="1">
      <alignment horizontal="center"/>
    </xf>
    <xf numFmtId="0" fontId="0" fillId="0" borderId="34" xfId="0" applyFill="1" applyBorder="1" applyAlignment="1">
      <alignment/>
    </xf>
    <xf numFmtId="2" fontId="0" fillId="0" borderId="4" xfId="0" applyNumberForma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37" xfId="0" applyFont="1" applyFill="1" applyBorder="1" applyAlignment="1">
      <alignment horizontal="center"/>
    </xf>
    <xf numFmtId="0" fontId="5" fillId="0" borderId="42" xfId="0" applyFont="1" applyFill="1" applyBorder="1" applyAlignment="1">
      <alignment horizontal="center"/>
    </xf>
    <xf numFmtId="0" fontId="5" fillId="0" borderId="43" xfId="0" applyFont="1" applyFill="1" applyBorder="1" applyAlignment="1">
      <alignment horizontal="center"/>
    </xf>
    <xf numFmtId="0" fontId="5" fillId="0" borderId="44" xfId="0" applyFont="1" applyFill="1" applyBorder="1" applyAlignment="1">
      <alignment horizontal="right"/>
    </xf>
    <xf numFmtId="177" fontId="0" fillId="0" borderId="45" xfId="0" applyNumberFormat="1" applyFill="1" applyBorder="1" applyAlignment="1">
      <alignment/>
    </xf>
    <xf numFmtId="0" fontId="5" fillId="0" borderId="46" xfId="0" applyFont="1" applyFill="1" applyBorder="1" applyAlignment="1">
      <alignment horizontal="right"/>
    </xf>
    <xf numFmtId="176" fontId="0" fillId="0" borderId="47" xfId="0" applyNumberFormat="1" applyFill="1" applyBorder="1" applyAlignment="1">
      <alignment/>
    </xf>
    <xf numFmtId="0" fontId="5" fillId="0" borderId="48" xfId="0" applyFont="1" applyFill="1" applyBorder="1" applyAlignment="1">
      <alignment horizontal="right"/>
    </xf>
    <xf numFmtId="178" fontId="0" fillId="0" borderId="49" xfId="0" applyNumberFormat="1" applyFill="1" applyBorder="1" applyAlignment="1">
      <alignment/>
    </xf>
    <xf numFmtId="0" fontId="0" fillId="0" borderId="4" xfId="0" applyFill="1" applyBorder="1" applyAlignment="1">
      <alignment horizontal="center"/>
    </xf>
    <xf numFmtId="0" fontId="3" fillId="3" borderId="50" xfId="0" applyFont="1" applyFill="1" applyBorder="1" applyAlignment="1">
      <alignment horizontal="center" vertical="center"/>
    </xf>
    <xf numFmtId="49" fontId="0" fillId="3" borderId="0" xfId="0" applyNumberFormat="1" applyFill="1" applyBorder="1" applyAlignment="1">
      <alignment/>
    </xf>
    <xf numFmtId="14" fontId="0" fillId="4" borderId="25" xfId="0" applyNumberFormat="1" applyFill="1" applyBorder="1" applyAlignment="1">
      <alignment/>
    </xf>
    <xf numFmtId="0" fontId="13" fillId="4" borderId="9" xfId="0" applyFont="1" applyFill="1" applyBorder="1" applyAlignment="1">
      <alignment horizontal="left" vertical="center"/>
    </xf>
    <xf numFmtId="0" fontId="0" fillId="4" borderId="39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11" xfId="0" applyFill="1" applyBorder="1" applyAlignment="1">
      <alignment/>
    </xf>
    <xf numFmtId="0" fontId="0" fillId="0" borderId="39" xfId="0" applyNumberFormat="1" applyBorder="1" applyAlignment="1">
      <alignment/>
    </xf>
    <xf numFmtId="0" fontId="0" fillId="0" borderId="11" xfId="0" applyNumberFormat="1" applyBorder="1" applyAlignment="1">
      <alignment/>
    </xf>
    <xf numFmtId="0" fontId="0" fillId="0" borderId="34" xfId="0" applyNumberFormat="1" applyFill="1" applyBorder="1" applyAlignment="1">
      <alignment/>
    </xf>
    <xf numFmtId="0" fontId="14" fillId="3" borderId="0" xfId="0" applyFont="1" applyFill="1" applyAlignment="1">
      <alignment horizontal="justify"/>
    </xf>
    <xf numFmtId="0" fontId="5" fillId="5" borderId="51" xfId="0" applyNumberFormat="1" applyFont="1" applyFill="1" applyBorder="1" applyAlignment="1">
      <alignment horizontal="center"/>
    </xf>
    <xf numFmtId="0" fontId="0" fillId="5" borderId="52" xfId="0" applyNumberFormat="1" applyFill="1" applyBorder="1" applyAlignment="1">
      <alignment horizontal="center"/>
    </xf>
    <xf numFmtId="0" fontId="0" fillId="0" borderId="34" xfId="0" applyFill="1" applyBorder="1" applyAlignment="1">
      <alignment horizontal="center"/>
    </xf>
    <xf numFmtId="181" fontId="0" fillId="7" borderId="4" xfId="0" applyNumberForma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174" fontId="0" fillId="7" borderId="4" xfId="0" applyNumberFormat="1" applyFill="1" applyBorder="1" applyAlignment="1">
      <alignment horizontal="center"/>
    </xf>
    <xf numFmtId="180" fontId="0" fillId="7" borderId="4" xfId="0" applyNumberFormat="1" applyFill="1" applyBorder="1" applyAlignment="1">
      <alignment horizontal="center"/>
    </xf>
    <xf numFmtId="0" fontId="0" fillId="0" borderId="53" xfId="0" applyFont="1" applyBorder="1" applyAlignment="1">
      <alignment horizontal="justify"/>
    </xf>
    <xf numFmtId="0" fontId="0" fillId="0" borderId="50" xfId="0" applyBorder="1" applyAlignment="1">
      <alignment/>
    </xf>
    <xf numFmtId="0" fontId="0" fillId="0" borderId="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4" xfId="0" applyBorder="1" applyAlignment="1">
      <alignment/>
    </xf>
    <xf numFmtId="0" fontId="0" fillId="0" borderId="9" xfId="0" applyBorder="1" applyAlignment="1">
      <alignment/>
    </xf>
    <xf numFmtId="0" fontId="0" fillId="0" borderId="5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4" xfId="0" applyBorder="1" applyAlignment="1">
      <alignment horizontal="left"/>
    </xf>
    <xf numFmtId="0" fontId="0" fillId="0" borderId="5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5" xfId="0" applyBorder="1" applyAlignment="1">
      <alignment/>
    </xf>
    <xf numFmtId="0" fontId="19" fillId="0" borderId="29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36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9" xfId="0" applyNumberFormat="1" applyFont="1" applyBorder="1" applyAlignment="1">
      <alignment horizontal="center"/>
    </xf>
    <xf numFmtId="0" fontId="19" fillId="0" borderId="30" xfId="0" applyNumberFormat="1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57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55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174" fontId="0" fillId="0" borderId="34" xfId="0" applyNumberFormat="1" applyFill="1" applyBorder="1" applyAlignment="1">
      <alignment horizontal="center"/>
    </xf>
    <xf numFmtId="174" fontId="0" fillId="0" borderId="4" xfId="0" applyNumberFormat="1" applyFill="1" applyBorder="1" applyAlignment="1">
      <alignment horizontal="center"/>
    </xf>
    <xf numFmtId="180" fontId="0" fillId="0" borderId="34" xfId="0" applyNumberFormat="1" applyFill="1" applyBorder="1" applyAlignment="1">
      <alignment horizontal="center"/>
    </xf>
    <xf numFmtId="180" fontId="0" fillId="0" borderId="4" xfId="0" applyNumberFormat="1" applyFill="1" applyBorder="1" applyAlignment="1">
      <alignment horizontal="center"/>
    </xf>
    <xf numFmtId="180" fontId="0" fillId="0" borderId="20" xfId="0" applyNumberFormat="1" applyFill="1" applyBorder="1" applyAlignment="1">
      <alignment horizontal="center"/>
    </xf>
    <xf numFmtId="174" fontId="0" fillId="0" borderId="27" xfId="0" applyNumberFormat="1" applyFont="1" applyBorder="1" applyAlignment="1">
      <alignment horizontal="center"/>
    </xf>
    <xf numFmtId="174" fontId="0" fillId="0" borderId="60" xfId="0" applyNumberFormat="1" applyFont="1" applyBorder="1" applyAlignment="1">
      <alignment horizontal="center"/>
    </xf>
    <xf numFmtId="2" fontId="0" fillId="0" borderId="53" xfId="0" applyNumberFormat="1" applyFont="1" applyBorder="1" applyAlignment="1">
      <alignment horizontal="center"/>
    </xf>
    <xf numFmtId="2" fontId="0" fillId="0" borderId="59" xfId="0" applyNumberFormat="1" applyFont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right" vertical="center" wrapText="1"/>
    </xf>
    <xf numFmtId="0" fontId="5" fillId="0" borderId="18" xfId="0" applyNumberFormat="1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/>
    </xf>
    <xf numFmtId="0" fontId="15" fillId="3" borderId="0" xfId="0" applyFont="1" applyFill="1" applyAlignment="1">
      <alignment horizontal="center"/>
    </xf>
    <xf numFmtId="0" fontId="5" fillId="2" borderId="18" xfId="0" applyNumberFormat="1" applyFont="1" applyFill="1" applyBorder="1" applyAlignment="1">
      <alignment horizontal="center"/>
    </xf>
    <xf numFmtId="0" fontId="0" fillId="2" borderId="14" xfId="0" applyFill="1" applyBorder="1" applyAlignment="1">
      <alignment/>
    </xf>
    <xf numFmtId="0" fontId="4" fillId="3" borderId="10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0" fillId="3" borderId="50" xfId="21" applyFont="1" applyFill="1" applyBorder="1" applyAlignment="1" applyProtection="1">
      <alignment horizontal="center" vertical="center" wrapText="1"/>
      <protection locked="0"/>
    </xf>
    <xf numFmtId="0" fontId="0" fillId="3" borderId="0" xfId="21" applyFont="1" applyFill="1" applyBorder="1" applyAlignment="1" applyProtection="1">
      <alignment horizontal="center" vertical="center" wrapText="1"/>
      <protection locked="0"/>
    </xf>
    <xf numFmtId="0" fontId="0" fillId="0" borderId="4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0" fillId="0" borderId="24" xfId="0" applyNumberFormat="1" applyBorder="1" applyAlignment="1">
      <alignment horizontal="center"/>
    </xf>
    <xf numFmtId="0" fontId="0" fillId="0" borderId="40" xfId="0" applyNumberFormat="1" applyBorder="1" applyAlignment="1">
      <alignment horizontal="center"/>
    </xf>
    <xf numFmtId="0" fontId="0" fillId="0" borderId="12" xfId="0" applyNumberFormat="1" applyBorder="1" applyAlignment="1">
      <alignment horizontal="center"/>
    </xf>
    <xf numFmtId="0" fontId="0" fillId="0" borderId="27" xfId="0" applyNumberFormat="1" applyBorder="1" applyAlignment="1">
      <alignment horizontal="center"/>
    </xf>
    <xf numFmtId="0" fontId="0" fillId="3" borderId="10" xfId="0" applyNumberFormat="1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13" xfId="0" applyFill="1" applyBorder="1" applyAlignment="1">
      <alignment wrapText="1"/>
    </xf>
    <xf numFmtId="0" fontId="0" fillId="3" borderId="10" xfId="0" applyFill="1" applyBorder="1" applyAlignment="1">
      <alignment wrapText="1"/>
    </xf>
    <xf numFmtId="0" fontId="0" fillId="0" borderId="39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3" fillId="0" borderId="4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 wrapText="1"/>
    </xf>
    <xf numFmtId="0" fontId="4" fillId="3" borderId="13" xfId="0" applyFont="1" applyFill="1" applyBorder="1" applyAlignment="1">
      <alignment horizontal="right" vertical="center" wrapText="1"/>
    </xf>
    <xf numFmtId="0" fontId="4" fillId="3" borderId="58" xfId="0" applyFont="1" applyFill="1" applyBorder="1" applyAlignment="1">
      <alignment horizontal="right" vertical="center" wrapText="1"/>
    </xf>
    <xf numFmtId="0" fontId="4" fillId="3" borderId="17" xfId="0" applyFont="1" applyFill="1" applyBorder="1" applyAlignment="1">
      <alignment horizontal="right" vertical="center" wrapText="1"/>
    </xf>
    <xf numFmtId="0" fontId="4" fillId="3" borderId="59" xfId="0" applyFont="1" applyFill="1" applyBorder="1" applyAlignment="1">
      <alignment horizontal="right" vertical="center" wrapText="1"/>
    </xf>
    <xf numFmtId="0" fontId="4" fillId="4" borderId="10" xfId="0" applyFont="1" applyFill="1" applyBorder="1" applyAlignment="1">
      <alignment horizontal="left" vertical="center" wrapText="1" indent="1"/>
    </xf>
    <xf numFmtId="0" fontId="4" fillId="4" borderId="13" xfId="0" applyFont="1" applyFill="1" applyBorder="1" applyAlignment="1">
      <alignment horizontal="left" vertical="center" wrapText="1" indent="1"/>
    </xf>
    <xf numFmtId="0" fontId="4" fillId="4" borderId="58" xfId="0" applyFont="1" applyFill="1" applyBorder="1" applyAlignment="1">
      <alignment horizontal="left" vertical="center" wrapText="1" indent="1"/>
    </xf>
    <xf numFmtId="0" fontId="4" fillId="3" borderId="8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/>
    </xf>
    <xf numFmtId="0" fontId="4" fillId="3" borderId="5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58" xfId="0" applyFont="1" applyFill="1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/>
    </xf>
    <xf numFmtId="0" fontId="4" fillId="3" borderId="59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shrinkToFit="1"/>
    </xf>
    <xf numFmtId="0" fontId="0" fillId="0" borderId="40" xfId="0" applyBorder="1" applyAlignment="1">
      <alignment horizontal="center"/>
    </xf>
    <xf numFmtId="0" fontId="0" fillId="0" borderId="12" xfId="0" applyBorder="1" applyAlignment="1">
      <alignment horizontal="center"/>
    </xf>
    <xf numFmtId="0" fontId="5" fillId="5" borderId="15" xfId="0" applyFont="1" applyFill="1" applyBorder="1" applyAlignment="1">
      <alignment horizontal="center" wrapText="1"/>
    </xf>
    <xf numFmtId="0" fontId="5" fillId="5" borderId="61" xfId="0" applyFont="1" applyFill="1" applyBorder="1" applyAlignment="1">
      <alignment horizontal="center" wrapText="1"/>
    </xf>
    <xf numFmtId="0" fontId="5" fillId="3" borderId="18" xfId="0" applyFont="1" applyFill="1" applyBorder="1" applyAlignment="1">
      <alignment horizontal="center" wrapText="1"/>
    </xf>
    <xf numFmtId="0" fontId="0" fillId="3" borderId="3" xfId="0" applyFill="1" applyBorder="1" applyAlignment="1">
      <alignment horizontal="center" wrapText="1"/>
    </xf>
    <xf numFmtId="0" fontId="0" fillId="3" borderId="14" xfId="0" applyFill="1" applyBorder="1" applyAlignment="1">
      <alignment horizontal="center" wrapText="1"/>
    </xf>
    <xf numFmtId="0" fontId="5" fillId="5" borderId="23" xfId="0" applyFont="1" applyFill="1" applyBorder="1" applyAlignment="1">
      <alignment horizontal="center" wrapText="1"/>
    </xf>
    <xf numFmtId="0" fontId="5" fillId="5" borderId="62" xfId="0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vertical="center"/>
    </xf>
    <xf numFmtId="0" fontId="5" fillId="5" borderId="35" xfId="0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2" fillId="3" borderId="17" xfId="0" applyFont="1" applyFill="1" applyBorder="1" applyAlignment="1">
      <alignment horizontal="center"/>
    </xf>
    <xf numFmtId="0" fontId="5" fillId="3" borderId="0" xfId="0" applyFont="1" applyFill="1" applyAlignment="1">
      <alignment horizont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61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wrapText="1"/>
    </xf>
    <xf numFmtId="0" fontId="5" fillId="0" borderId="63" xfId="0" applyFont="1" applyBorder="1" applyAlignment="1">
      <alignment horizont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Hoja Toma de datos de Llaves Dinamométricas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714375</xdr:colOff>
      <xdr:row>43</xdr:row>
      <xdr:rowOff>38100</xdr:rowOff>
    </xdr:from>
    <xdr:to>
      <xdr:col>1</xdr:col>
      <xdr:colOff>790575</xdr:colOff>
      <xdr:row>43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1695450" y="7296150"/>
          <a:ext cx="76200" cy="952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657225</xdr:colOff>
      <xdr:row>43</xdr:row>
      <xdr:rowOff>28575</xdr:rowOff>
    </xdr:from>
    <xdr:to>
      <xdr:col>2</xdr:col>
      <xdr:colOff>733425</xdr:colOff>
      <xdr:row>43</xdr:row>
      <xdr:rowOff>123825</xdr:rowOff>
    </xdr:to>
    <xdr:sp>
      <xdr:nvSpPr>
        <xdr:cNvPr id="2" name="AutoShape 2"/>
        <xdr:cNvSpPr>
          <a:spLocks/>
        </xdr:cNvSpPr>
      </xdr:nvSpPr>
      <xdr:spPr>
        <a:xfrm>
          <a:off x="2628900" y="7286625"/>
          <a:ext cx="76200" cy="952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771525</xdr:colOff>
      <xdr:row>43</xdr:row>
      <xdr:rowOff>38100</xdr:rowOff>
    </xdr:from>
    <xdr:to>
      <xdr:col>3</xdr:col>
      <xdr:colOff>847725</xdr:colOff>
      <xdr:row>43</xdr:row>
      <xdr:rowOff>133350</xdr:rowOff>
    </xdr:to>
    <xdr:sp>
      <xdr:nvSpPr>
        <xdr:cNvPr id="3" name="AutoShape 3"/>
        <xdr:cNvSpPr>
          <a:spLocks/>
        </xdr:cNvSpPr>
      </xdr:nvSpPr>
      <xdr:spPr>
        <a:xfrm>
          <a:off x="3648075" y="7296150"/>
          <a:ext cx="76200" cy="952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685800</xdr:colOff>
      <xdr:row>43</xdr:row>
      <xdr:rowOff>38100</xdr:rowOff>
    </xdr:from>
    <xdr:to>
      <xdr:col>5</xdr:col>
      <xdr:colOff>762000</xdr:colOff>
      <xdr:row>43</xdr:row>
      <xdr:rowOff>133350</xdr:rowOff>
    </xdr:to>
    <xdr:sp>
      <xdr:nvSpPr>
        <xdr:cNvPr id="4" name="AutoShape 4"/>
        <xdr:cNvSpPr>
          <a:spLocks/>
        </xdr:cNvSpPr>
      </xdr:nvSpPr>
      <xdr:spPr>
        <a:xfrm>
          <a:off x="5438775" y="7296150"/>
          <a:ext cx="76200" cy="95250"/>
        </a:xfrm>
        <a:prstGeom prst="up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695325</xdr:colOff>
      <xdr:row>43</xdr:row>
      <xdr:rowOff>38100</xdr:rowOff>
    </xdr:from>
    <xdr:to>
      <xdr:col>4</xdr:col>
      <xdr:colOff>790575</xdr:colOff>
      <xdr:row>43</xdr:row>
      <xdr:rowOff>152400</xdr:rowOff>
    </xdr:to>
    <xdr:sp>
      <xdr:nvSpPr>
        <xdr:cNvPr id="5" name="AutoShape 5"/>
        <xdr:cNvSpPr>
          <a:spLocks/>
        </xdr:cNvSpPr>
      </xdr:nvSpPr>
      <xdr:spPr>
        <a:xfrm>
          <a:off x="4581525" y="7296150"/>
          <a:ext cx="95250" cy="1143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676275</xdr:colOff>
      <xdr:row>43</xdr:row>
      <xdr:rowOff>19050</xdr:rowOff>
    </xdr:from>
    <xdr:to>
      <xdr:col>6</xdr:col>
      <xdr:colOff>771525</xdr:colOff>
      <xdr:row>43</xdr:row>
      <xdr:rowOff>152400</xdr:rowOff>
    </xdr:to>
    <xdr:sp>
      <xdr:nvSpPr>
        <xdr:cNvPr id="6" name="AutoShape 6"/>
        <xdr:cNvSpPr>
          <a:spLocks/>
        </xdr:cNvSpPr>
      </xdr:nvSpPr>
      <xdr:spPr>
        <a:xfrm>
          <a:off x="6267450" y="7277100"/>
          <a:ext cx="95250" cy="1333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361950</xdr:colOff>
      <xdr:row>57</xdr:row>
      <xdr:rowOff>123825</xdr:rowOff>
    </xdr:from>
    <xdr:to>
      <xdr:col>5</xdr:col>
      <xdr:colOff>28575</xdr:colOff>
      <xdr:row>58</xdr:row>
      <xdr:rowOff>133350</xdr:rowOff>
    </xdr:to>
    <xdr:sp>
      <xdr:nvSpPr>
        <xdr:cNvPr id="7" name="Line 13"/>
        <xdr:cNvSpPr>
          <a:spLocks/>
        </xdr:cNvSpPr>
      </xdr:nvSpPr>
      <xdr:spPr>
        <a:xfrm>
          <a:off x="4248150" y="9658350"/>
          <a:ext cx="533400" cy="180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323850</xdr:colOff>
      <xdr:row>11</xdr:row>
      <xdr:rowOff>19050</xdr:rowOff>
    </xdr:from>
    <xdr:to>
      <xdr:col>1</xdr:col>
      <xdr:colOff>419100</xdr:colOff>
      <xdr:row>11</xdr:row>
      <xdr:rowOff>19050</xdr:rowOff>
    </xdr:to>
    <xdr:sp>
      <xdr:nvSpPr>
        <xdr:cNvPr id="1" name="Line 2"/>
        <xdr:cNvSpPr>
          <a:spLocks/>
        </xdr:cNvSpPr>
      </xdr:nvSpPr>
      <xdr:spPr>
        <a:xfrm>
          <a:off x="1152525" y="1943100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285750</xdr:colOff>
      <xdr:row>11</xdr:row>
      <xdr:rowOff>28575</xdr:rowOff>
    </xdr:from>
    <xdr:to>
      <xdr:col>3</xdr:col>
      <xdr:colOff>381000</xdr:colOff>
      <xdr:row>11</xdr:row>
      <xdr:rowOff>28575</xdr:rowOff>
    </xdr:to>
    <xdr:sp>
      <xdr:nvSpPr>
        <xdr:cNvPr id="2" name="Line 3"/>
        <xdr:cNvSpPr>
          <a:spLocks/>
        </xdr:cNvSpPr>
      </xdr:nvSpPr>
      <xdr:spPr>
        <a:xfrm>
          <a:off x="2238375" y="195262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11"/>
  <sheetViews>
    <sheetView tabSelected="1" zoomScale="90" zoomScaleNormal="90" workbookViewId="0" topLeftCell="A25">
      <selection activeCell="I43" sqref="I42:I43"/>
    </sheetView>
  </sheetViews>
  <sheetFormatPr defaultColWidth="11.421875" defaultRowHeight="12.75"/>
  <cols>
    <col min="1" max="1" width="14.7109375" style="0" customWidth="1"/>
    <col min="2" max="2" width="14.8515625" style="0" customWidth="1"/>
    <col min="3" max="3" width="13.57421875" style="0" customWidth="1"/>
    <col min="4" max="4" width="15.140625" style="0" customWidth="1"/>
    <col min="5" max="5" width="13.00390625" style="0" customWidth="1"/>
    <col min="6" max="6" width="12.57421875" style="0" customWidth="1"/>
    <col min="7" max="7" width="12.7109375" style="0" customWidth="1"/>
  </cols>
  <sheetData>
    <row r="1" spans="1:16" ht="19.5" customHeight="1">
      <c r="A1" s="100" t="s">
        <v>111</v>
      </c>
      <c r="B1" s="138"/>
      <c r="C1" s="236" t="s">
        <v>45</v>
      </c>
      <c r="D1" s="237"/>
      <c r="E1" s="237"/>
      <c r="F1" s="237"/>
      <c r="G1" s="237"/>
      <c r="H1" s="237"/>
      <c r="I1" s="238"/>
      <c r="J1" s="41"/>
      <c r="K1" s="41"/>
      <c r="L1" s="41"/>
      <c r="M1" s="41"/>
      <c r="N1" s="41"/>
      <c r="O1" s="41"/>
      <c r="P1" s="41"/>
    </row>
    <row r="2" spans="1:16" ht="12.75" customHeight="1">
      <c r="A2" s="223"/>
      <c r="B2" s="224"/>
      <c r="C2" s="206"/>
      <c r="D2" s="239"/>
      <c r="E2" s="239"/>
      <c r="F2" s="239"/>
      <c r="G2" s="239"/>
      <c r="H2" s="239"/>
      <c r="I2" s="207"/>
      <c r="J2" s="41"/>
      <c r="K2" s="41"/>
      <c r="L2" s="41"/>
      <c r="M2" s="41"/>
      <c r="N2" s="41"/>
      <c r="O2" s="41"/>
      <c r="P2" s="41"/>
    </row>
    <row r="3" spans="1:16" ht="12" customHeight="1">
      <c r="A3" s="225"/>
      <c r="B3" s="226"/>
      <c r="C3" s="206" t="s">
        <v>15</v>
      </c>
      <c r="D3" s="239"/>
      <c r="E3" s="239"/>
      <c r="F3" s="239"/>
      <c r="G3" s="239"/>
      <c r="H3" s="239"/>
      <c r="I3" s="207"/>
      <c r="J3" s="41"/>
      <c r="K3" s="41"/>
      <c r="L3" s="41"/>
      <c r="M3" s="41"/>
      <c r="N3" s="41"/>
      <c r="O3" s="41"/>
      <c r="P3" s="41"/>
    </row>
    <row r="4" spans="1:16" ht="9" customHeight="1" thickBot="1">
      <c r="A4" s="227"/>
      <c r="B4" s="198"/>
      <c r="C4" s="240"/>
      <c r="D4" s="241"/>
      <c r="E4" s="241"/>
      <c r="F4" s="241"/>
      <c r="G4" s="241"/>
      <c r="H4" s="241"/>
      <c r="I4" s="242"/>
      <c r="J4" s="41"/>
      <c r="K4" s="41"/>
      <c r="L4" s="41"/>
      <c r="M4" s="41"/>
      <c r="N4" s="41"/>
      <c r="O4" s="41"/>
      <c r="P4" s="41"/>
    </row>
    <row r="5" spans="1:16" ht="12.75">
      <c r="A5" s="206"/>
      <c r="B5" s="207"/>
      <c r="C5" s="199" t="s">
        <v>96</v>
      </c>
      <c r="D5" s="228"/>
      <c r="E5" s="229"/>
      <c r="F5" s="233"/>
      <c r="G5" s="234"/>
      <c r="H5" s="14"/>
      <c r="I5" s="14"/>
      <c r="J5" s="41"/>
      <c r="K5" s="41"/>
      <c r="L5" s="41"/>
      <c r="M5" s="41"/>
      <c r="N5" s="41"/>
      <c r="O5" s="41"/>
      <c r="P5" s="41"/>
    </row>
    <row r="6" spans="1:16" ht="13.5" thickBot="1">
      <c r="A6" s="206"/>
      <c r="B6" s="207"/>
      <c r="C6" s="230"/>
      <c r="D6" s="231"/>
      <c r="E6" s="232"/>
      <c r="F6" s="235"/>
      <c r="G6" s="234"/>
      <c r="H6" s="14"/>
      <c r="I6" s="14"/>
      <c r="J6" s="41"/>
      <c r="K6" s="41"/>
      <c r="L6" s="41"/>
      <c r="M6" s="41"/>
      <c r="N6" s="41"/>
      <c r="O6" s="41"/>
      <c r="P6" s="41"/>
    </row>
    <row r="7" spans="1:16" ht="15">
      <c r="A7" s="86" t="s">
        <v>82</v>
      </c>
      <c r="B7" s="141"/>
      <c r="C7" s="14"/>
      <c r="D7" s="14"/>
      <c r="E7" s="85" t="s">
        <v>102</v>
      </c>
      <c r="F7" s="83"/>
      <c r="G7" s="81"/>
      <c r="H7" s="84" t="s">
        <v>103</v>
      </c>
      <c r="I7" s="82"/>
      <c r="J7" s="41"/>
      <c r="K7" s="41"/>
      <c r="L7" s="41"/>
      <c r="M7" s="41"/>
      <c r="N7" s="41"/>
      <c r="O7" s="41"/>
      <c r="P7" s="41"/>
    </row>
    <row r="8" spans="1:16" ht="12.75">
      <c r="A8" s="87" t="s">
        <v>104</v>
      </c>
      <c r="B8" s="142"/>
      <c r="C8" s="143"/>
      <c r="D8" s="143"/>
      <c r="E8" s="144"/>
      <c r="F8" s="17"/>
      <c r="G8" s="17"/>
      <c r="H8" s="139"/>
      <c r="I8" s="14"/>
      <c r="J8" s="41"/>
      <c r="K8" s="41"/>
      <c r="L8" s="41"/>
      <c r="M8" s="41"/>
      <c r="N8" s="41"/>
      <c r="O8" s="41"/>
      <c r="P8" s="41"/>
    </row>
    <row r="9" spans="1:16" ht="12.75">
      <c r="A9" s="87" t="s">
        <v>105</v>
      </c>
      <c r="B9" s="220"/>
      <c r="C9" s="221"/>
      <c r="D9" s="221"/>
      <c r="E9" s="222"/>
      <c r="F9" s="108"/>
      <c r="G9" s="109"/>
      <c r="H9" s="109"/>
      <c r="I9" s="112"/>
      <c r="J9" s="89"/>
      <c r="K9" s="89"/>
      <c r="L9" s="90"/>
      <c r="M9" s="111"/>
      <c r="N9" s="41"/>
      <c r="O9" s="41"/>
      <c r="P9" s="41"/>
    </row>
    <row r="10" spans="1:16" ht="12.75">
      <c r="A10" s="87" t="s">
        <v>106</v>
      </c>
      <c r="B10" s="220"/>
      <c r="C10" s="221"/>
      <c r="D10" s="222"/>
      <c r="E10" s="92"/>
      <c r="F10" s="14"/>
      <c r="G10" s="17"/>
      <c r="H10" s="139"/>
      <c r="I10" s="14"/>
      <c r="J10" s="41"/>
      <c r="K10" s="41"/>
      <c r="L10" s="41"/>
      <c r="M10" s="41"/>
      <c r="N10" s="41"/>
      <c r="O10" s="41"/>
      <c r="P10" s="41"/>
    </row>
    <row r="11" spans="1:16" ht="12.75">
      <c r="A11" s="87" t="s">
        <v>107</v>
      </c>
      <c r="B11" s="220"/>
      <c r="C11" s="222"/>
      <c r="D11" s="93" t="s">
        <v>108</v>
      </c>
      <c r="E11" s="91"/>
      <c r="F11" s="17"/>
      <c r="G11" s="17"/>
      <c r="H11" s="139"/>
      <c r="I11" s="14"/>
      <c r="J11" s="41"/>
      <c r="K11" s="41"/>
      <c r="L11" s="41"/>
      <c r="M11" s="41"/>
      <c r="N11" s="41"/>
      <c r="O11" s="41"/>
      <c r="P11" s="41"/>
    </row>
    <row r="12" spans="1:16" ht="13.5" thickBot="1">
      <c r="A12" s="94"/>
      <c r="B12" s="95"/>
      <c r="C12" s="95"/>
      <c r="D12" s="96"/>
      <c r="E12" s="97"/>
      <c r="F12" s="55"/>
      <c r="G12" s="17"/>
      <c r="H12" s="139"/>
      <c r="I12" s="14"/>
      <c r="J12" s="41"/>
      <c r="K12" s="41"/>
      <c r="L12" s="41"/>
      <c r="M12" s="41"/>
      <c r="N12" s="41"/>
      <c r="O12" s="41"/>
      <c r="P12" s="41"/>
    </row>
    <row r="13" spans="1:16" ht="13.5" thickBot="1">
      <c r="A13" s="17" t="s">
        <v>0</v>
      </c>
      <c r="B13" s="17"/>
      <c r="C13" s="88"/>
      <c r="D13" s="17"/>
      <c r="E13" s="208" t="s">
        <v>123</v>
      </c>
      <c r="F13" s="17" t="s">
        <v>91</v>
      </c>
      <c r="G13" s="140"/>
      <c r="H13" s="14"/>
      <c r="I13" s="14"/>
      <c r="J13" s="41"/>
      <c r="K13" s="41"/>
      <c r="L13" s="41"/>
      <c r="M13" s="41"/>
      <c r="N13" s="41"/>
      <c r="O13" s="41"/>
      <c r="P13" s="41"/>
    </row>
    <row r="14" spans="1:16" ht="13.5" thickBot="1">
      <c r="A14" s="17"/>
      <c r="B14" s="17"/>
      <c r="C14" s="17"/>
      <c r="D14" s="17"/>
      <c r="E14" s="209"/>
      <c r="F14" s="17" t="s">
        <v>92</v>
      </c>
      <c r="G14" s="57"/>
      <c r="H14" s="14"/>
      <c r="I14" s="14"/>
      <c r="J14" s="41"/>
      <c r="K14" s="41"/>
      <c r="L14" s="41"/>
      <c r="M14" s="41"/>
      <c r="N14" s="41"/>
      <c r="O14" s="41"/>
      <c r="P14" s="41"/>
    </row>
    <row r="15" spans="1:16" ht="12.75">
      <c r="A15" s="17"/>
      <c r="B15" s="26" t="s">
        <v>88</v>
      </c>
      <c r="C15" s="27"/>
      <c r="D15" s="27"/>
      <c r="E15" s="17"/>
      <c r="F15" s="19" t="s">
        <v>84</v>
      </c>
      <c r="G15" s="17"/>
      <c r="H15" s="15"/>
      <c r="I15" s="14"/>
      <c r="J15" s="41"/>
      <c r="K15" s="41"/>
      <c r="L15" s="41"/>
      <c r="M15" s="41"/>
      <c r="N15" s="41"/>
      <c r="O15" s="41"/>
      <c r="P15" s="41"/>
    </row>
    <row r="16" spans="1:16" ht="12.75">
      <c r="A16" s="17" t="s">
        <v>1</v>
      </c>
      <c r="B16" s="23"/>
      <c r="C16" s="23"/>
      <c r="D16" s="23"/>
      <c r="E16" s="17" t="s">
        <v>1</v>
      </c>
      <c r="F16" s="145" t="s">
        <v>16</v>
      </c>
      <c r="G16" s="146"/>
      <c r="H16" s="14"/>
      <c r="I16" s="14"/>
      <c r="J16" s="41"/>
      <c r="K16" s="41"/>
      <c r="L16" s="41"/>
      <c r="M16" s="41"/>
      <c r="N16" s="41"/>
      <c r="O16" s="41"/>
      <c r="P16" s="41"/>
    </row>
    <row r="17" spans="1:16" ht="12.75">
      <c r="A17" s="17" t="s">
        <v>2</v>
      </c>
      <c r="B17" s="23"/>
      <c r="C17" s="23"/>
      <c r="D17" s="23"/>
      <c r="E17" s="17" t="s">
        <v>2</v>
      </c>
      <c r="F17" s="115"/>
      <c r="G17" s="24"/>
      <c r="H17" s="14"/>
      <c r="I17" s="14"/>
      <c r="J17" s="41"/>
      <c r="K17" s="41"/>
      <c r="L17" s="41"/>
      <c r="M17" s="41"/>
      <c r="N17" s="41"/>
      <c r="O17" s="41"/>
      <c r="P17" s="41"/>
    </row>
    <row r="18" spans="1:16" ht="12.75">
      <c r="A18" s="17" t="s">
        <v>3</v>
      </c>
      <c r="B18" s="23"/>
      <c r="C18" s="23"/>
      <c r="D18" s="23"/>
      <c r="E18" s="17" t="s">
        <v>3</v>
      </c>
      <c r="F18" s="115"/>
      <c r="G18" s="24"/>
      <c r="H18" s="14"/>
      <c r="I18" s="14"/>
      <c r="J18" s="41"/>
      <c r="K18" s="41"/>
      <c r="L18" s="41"/>
      <c r="M18" s="41"/>
      <c r="N18" s="41"/>
      <c r="O18" s="41"/>
      <c r="P18" s="41"/>
    </row>
    <row r="19" spans="1:16" ht="13.5" thickBot="1">
      <c r="A19" s="17" t="s">
        <v>4</v>
      </c>
      <c r="B19" s="65"/>
      <c r="C19" s="65"/>
      <c r="D19" s="23"/>
      <c r="E19" s="17" t="s">
        <v>4</v>
      </c>
      <c r="F19" s="115"/>
      <c r="G19" s="24"/>
      <c r="H19" s="14"/>
      <c r="I19" s="14"/>
      <c r="J19" s="41"/>
      <c r="K19" s="41"/>
      <c r="L19" s="41"/>
      <c r="M19" s="41"/>
      <c r="N19" s="41"/>
      <c r="O19" s="41"/>
      <c r="P19" s="41"/>
    </row>
    <row r="20" spans="1:16" ht="13.5" thickBot="1">
      <c r="A20" s="17" t="s">
        <v>5</v>
      </c>
      <c r="B20" s="80">
        <v>20</v>
      </c>
      <c r="C20" s="67" t="s">
        <v>97</v>
      </c>
      <c r="D20" s="23"/>
      <c r="E20" s="17" t="s">
        <v>8</v>
      </c>
      <c r="F20" s="147">
        <v>1E-05</v>
      </c>
      <c r="G20" s="17"/>
      <c r="H20" s="14"/>
      <c r="I20" s="14"/>
      <c r="J20" s="41"/>
      <c r="K20" s="41"/>
      <c r="L20" s="41"/>
      <c r="M20" s="41"/>
      <c r="N20" s="41"/>
      <c r="O20" s="41"/>
      <c r="P20" s="41"/>
    </row>
    <row r="21" spans="1:16" ht="12.75">
      <c r="A21" s="17" t="s">
        <v>6</v>
      </c>
      <c r="B21" s="32"/>
      <c r="C21" s="71"/>
      <c r="D21" s="25"/>
      <c r="E21" s="17" t="s">
        <v>9</v>
      </c>
      <c r="F21" s="28" t="s">
        <v>18</v>
      </c>
      <c r="G21" s="17"/>
      <c r="H21" s="14"/>
      <c r="I21" s="14"/>
      <c r="J21" s="41"/>
      <c r="K21" s="41"/>
      <c r="L21" s="41"/>
      <c r="M21" s="41"/>
      <c r="N21" s="41"/>
      <c r="O21" s="41"/>
      <c r="P21" s="41"/>
    </row>
    <row r="22" spans="1:16" ht="12.75">
      <c r="A22" s="15"/>
      <c r="B22" s="2"/>
      <c r="C22" s="2"/>
      <c r="D22" s="2"/>
      <c r="E22" s="15"/>
      <c r="F22" s="15"/>
      <c r="G22" s="17"/>
      <c r="H22" s="14"/>
      <c r="I22" s="14"/>
      <c r="J22" s="41"/>
      <c r="K22" s="41"/>
      <c r="L22" s="41"/>
      <c r="M22" s="41"/>
      <c r="N22" s="41"/>
      <c r="O22" s="41"/>
      <c r="P22" s="41"/>
    </row>
    <row r="23" spans="1:16" ht="12.75">
      <c r="A23" s="15"/>
      <c r="B23" s="1"/>
      <c r="C23" s="1"/>
      <c r="D23" s="1"/>
      <c r="E23" s="15"/>
      <c r="F23" s="15"/>
      <c r="G23" s="17"/>
      <c r="H23" s="14"/>
      <c r="I23" s="14"/>
      <c r="J23" s="41"/>
      <c r="K23" s="41"/>
      <c r="L23" s="41"/>
      <c r="M23" s="41"/>
      <c r="N23" s="41"/>
      <c r="O23" s="41"/>
      <c r="P23" s="41"/>
    </row>
    <row r="24" spans="1:16" ht="12.75">
      <c r="A24" s="17" t="s">
        <v>7</v>
      </c>
      <c r="B24" s="210"/>
      <c r="C24" s="211"/>
      <c r="D24" s="211"/>
      <c r="E24" s="211"/>
      <c r="F24" s="211"/>
      <c r="G24" s="211"/>
      <c r="H24" s="211"/>
      <c r="I24" s="212"/>
      <c r="J24" s="41"/>
      <c r="K24" s="41"/>
      <c r="L24" s="41"/>
      <c r="M24" s="41"/>
      <c r="N24" s="41"/>
      <c r="O24" s="41"/>
      <c r="P24" s="41"/>
    </row>
    <row r="25" spans="1:16" ht="12.75">
      <c r="A25" s="15"/>
      <c r="B25" s="213"/>
      <c r="C25" s="214"/>
      <c r="D25" s="214"/>
      <c r="E25" s="214"/>
      <c r="F25" s="214"/>
      <c r="G25" s="214"/>
      <c r="H25" s="214"/>
      <c r="I25" s="215"/>
      <c r="J25" s="41"/>
      <c r="K25" s="41"/>
      <c r="L25" s="41"/>
      <c r="M25" s="41"/>
      <c r="N25" s="41"/>
      <c r="O25" s="41"/>
      <c r="P25" s="41"/>
    </row>
    <row r="26" spans="1:16" ht="12.75">
      <c r="A26" s="16"/>
      <c r="B26" s="19" t="s">
        <v>83</v>
      </c>
      <c r="C26" s="17"/>
      <c r="D26" s="17"/>
      <c r="E26" s="17"/>
      <c r="F26" s="19" t="s">
        <v>84</v>
      </c>
      <c r="G26" s="17"/>
      <c r="H26" s="110" t="s">
        <v>124</v>
      </c>
      <c r="I26" s="14"/>
      <c r="J26" s="41"/>
      <c r="K26" s="41"/>
      <c r="L26" s="41"/>
      <c r="M26" s="41"/>
      <c r="N26" s="41"/>
      <c r="O26" s="41"/>
      <c r="P26" s="41"/>
    </row>
    <row r="27" spans="1:16" ht="12.75">
      <c r="A27" s="17" t="s">
        <v>85</v>
      </c>
      <c r="B27" s="62"/>
      <c r="C27" s="63"/>
      <c r="D27" s="62"/>
      <c r="E27" s="116" t="s">
        <v>2</v>
      </c>
      <c r="F27" s="115"/>
      <c r="G27" s="24"/>
      <c r="H27" s="17" t="s">
        <v>1</v>
      </c>
      <c r="I27" s="13"/>
      <c r="J27" s="41"/>
      <c r="K27" s="41"/>
      <c r="L27" s="41"/>
      <c r="M27" s="41"/>
      <c r="N27" s="41"/>
      <c r="O27" s="41"/>
      <c r="P27" s="41"/>
    </row>
    <row r="28" spans="1:16" ht="12.75">
      <c r="A28" s="17" t="s">
        <v>3</v>
      </c>
      <c r="B28" s="24"/>
      <c r="C28" s="23"/>
      <c r="D28" s="24"/>
      <c r="E28" s="115" t="s">
        <v>3</v>
      </c>
      <c r="F28" s="115"/>
      <c r="G28" s="24"/>
      <c r="H28" s="15" t="s">
        <v>125</v>
      </c>
      <c r="I28" s="13"/>
      <c r="J28" s="41"/>
      <c r="K28" s="41"/>
      <c r="L28" s="41"/>
      <c r="M28" s="41"/>
      <c r="N28" s="41"/>
      <c r="O28" s="41"/>
      <c r="P28" s="41"/>
    </row>
    <row r="29" spans="1:16" ht="13.5" thickBot="1">
      <c r="A29" s="17" t="s">
        <v>4</v>
      </c>
      <c r="B29" s="64"/>
      <c r="C29" s="65"/>
      <c r="D29" s="24"/>
      <c r="E29" s="115" t="s">
        <v>4</v>
      </c>
      <c r="F29" s="114"/>
      <c r="G29" s="113"/>
      <c r="H29" s="15" t="s">
        <v>126</v>
      </c>
      <c r="I29" s="13"/>
      <c r="J29" s="41"/>
      <c r="K29" s="41"/>
      <c r="L29" s="41"/>
      <c r="M29" s="41"/>
      <c r="N29" s="41"/>
      <c r="O29" s="41"/>
      <c r="P29" s="41"/>
    </row>
    <row r="30" spans="1:16" ht="13.5" thickBot="1">
      <c r="A30" s="17" t="s">
        <v>5</v>
      </c>
      <c r="B30" s="67">
        <v>20</v>
      </c>
      <c r="C30" s="67" t="s">
        <v>17</v>
      </c>
      <c r="D30" s="54"/>
      <c r="E30" s="117" t="s">
        <v>8</v>
      </c>
      <c r="F30" s="29">
        <v>1E-06</v>
      </c>
      <c r="G30" s="29" t="s">
        <v>18</v>
      </c>
      <c r="H30" s="14"/>
      <c r="I30" s="14"/>
      <c r="J30" s="41"/>
      <c r="K30" s="41"/>
      <c r="L30" s="41"/>
      <c r="M30" s="41"/>
      <c r="N30" s="41"/>
      <c r="O30" s="41"/>
      <c r="P30" s="41"/>
    </row>
    <row r="31" spans="1:16" ht="13.5" thickBot="1">
      <c r="A31" s="15"/>
      <c r="B31" s="19" t="s">
        <v>112</v>
      </c>
      <c r="C31" s="17"/>
      <c r="D31" s="17"/>
      <c r="E31" s="17"/>
      <c r="F31" s="17"/>
      <c r="G31" s="17"/>
      <c r="H31" s="14"/>
      <c r="I31" s="14"/>
      <c r="J31" s="41"/>
      <c r="K31" s="41"/>
      <c r="L31" s="41"/>
      <c r="M31" s="41"/>
      <c r="N31" s="41"/>
      <c r="O31" s="41"/>
      <c r="P31" s="41"/>
    </row>
    <row r="32" spans="1:16" ht="13.5" thickBot="1">
      <c r="A32" s="17" t="s">
        <v>85</v>
      </c>
      <c r="B32" s="57" t="s">
        <v>89</v>
      </c>
      <c r="C32" s="17"/>
      <c r="D32" s="17"/>
      <c r="E32" s="17"/>
      <c r="F32" s="17"/>
      <c r="G32" s="17"/>
      <c r="H32" s="15"/>
      <c r="I32" s="14"/>
      <c r="J32" s="41"/>
      <c r="K32" s="41"/>
      <c r="L32" s="41"/>
      <c r="M32" s="41"/>
      <c r="N32" s="41"/>
      <c r="O32" s="41"/>
      <c r="P32" s="41"/>
    </row>
    <row r="33" spans="1:16" ht="12.75">
      <c r="A33" s="17"/>
      <c r="B33" s="17"/>
      <c r="C33" s="17"/>
      <c r="D33" s="17"/>
      <c r="E33" s="17"/>
      <c r="F33" s="17"/>
      <c r="G33" s="17"/>
      <c r="H33" s="14"/>
      <c r="I33" s="14"/>
      <c r="J33" s="41"/>
      <c r="K33" s="41"/>
      <c r="L33" s="41"/>
      <c r="M33" s="41"/>
      <c r="N33" s="41"/>
      <c r="O33" s="41"/>
      <c r="P33" s="41"/>
    </row>
    <row r="34" spans="1:16" ht="12.75">
      <c r="A34" s="17"/>
      <c r="B34" s="17"/>
      <c r="C34" s="17"/>
      <c r="D34" s="17"/>
      <c r="E34" s="17"/>
      <c r="F34" s="17"/>
      <c r="G34" s="17"/>
      <c r="H34" s="14"/>
      <c r="I34" s="14"/>
      <c r="J34" s="41"/>
      <c r="K34" s="41"/>
      <c r="L34" s="41"/>
      <c r="M34" s="41"/>
      <c r="N34" s="41"/>
      <c r="O34" s="41"/>
      <c r="P34" s="41"/>
    </row>
    <row r="35" spans="1:16" ht="15.75">
      <c r="A35" s="203" t="s">
        <v>90</v>
      </c>
      <c r="B35" s="203"/>
      <c r="C35" s="58"/>
      <c r="D35" s="61" t="s">
        <v>93</v>
      </c>
      <c r="E35" s="61" t="s">
        <v>94</v>
      </c>
      <c r="F35" s="17"/>
      <c r="G35" s="17"/>
      <c r="H35" s="14"/>
      <c r="I35" s="14"/>
      <c r="J35" s="41"/>
      <c r="K35" s="41"/>
      <c r="L35" s="41"/>
      <c r="M35" s="41"/>
      <c r="N35" s="41"/>
      <c r="O35" s="41"/>
      <c r="P35" s="41"/>
    </row>
    <row r="36" spans="1:16" ht="15.75">
      <c r="A36" s="56"/>
      <c r="B36" s="56"/>
      <c r="C36" s="59" t="s">
        <v>95</v>
      </c>
      <c r="D36" s="60"/>
      <c r="E36" s="60"/>
      <c r="F36" s="17"/>
      <c r="G36" s="17"/>
      <c r="H36" s="14"/>
      <c r="I36" s="14"/>
      <c r="J36" s="41"/>
      <c r="K36" s="41"/>
      <c r="L36" s="41"/>
      <c r="M36" s="41"/>
      <c r="N36" s="41"/>
      <c r="O36" s="41"/>
      <c r="P36" s="41"/>
    </row>
    <row r="37" spans="1:16" s="32" customFormat="1" ht="15.75">
      <c r="A37" s="99"/>
      <c r="B37" s="99"/>
      <c r="C37" s="59" t="s">
        <v>109</v>
      </c>
      <c r="D37" s="98"/>
      <c r="E37" s="98"/>
      <c r="F37" s="17"/>
      <c r="G37" s="17"/>
      <c r="H37" s="15"/>
      <c r="I37" s="15"/>
      <c r="J37" s="42"/>
      <c r="K37" s="42"/>
      <c r="L37" s="42"/>
      <c r="M37" s="42"/>
      <c r="N37" s="42"/>
      <c r="O37" s="42"/>
      <c r="P37" s="42"/>
    </row>
    <row r="38" spans="1:16" ht="13.5" thickBot="1">
      <c r="A38" s="40"/>
      <c r="B38" s="40"/>
      <c r="C38" s="40"/>
      <c r="D38" s="55"/>
      <c r="E38" s="55"/>
      <c r="F38" s="55"/>
      <c r="G38" s="55"/>
      <c r="H38" s="14"/>
      <c r="I38" s="14"/>
      <c r="J38" s="41"/>
      <c r="K38" s="41"/>
      <c r="L38" s="41"/>
      <c r="M38" s="41"/>
      <c r="N38" s="41"/>
      <c r="O38" s="41"/>
      <c r="P38" s="41"/>
    </row>
    <row r="39" spans="1:16" ht="12.75">
      <c r="A39" s="34" t="s">
        <v>19</v>
      </c>
      <c r="B39" s="17"/>
      <c r="C39" s="17"/>
      <c r="D39" s="15"/>
      <c r="E39" s="17"/>
      <c r="F39" s="17"/>
      <c r="G39" s="30"/>
      <c r="H39" s="14"/>
      <c r="I39" s="14"/>
      <c r="J39" s="41"/>
      <c r="K39" s="41"/>
      <c r="L39" s="41"/>
      <c r="M39" s="41"/>
      <c r="N39" s="41"/>
      <c r="O39" s="41"/>
      <c r="P39" s="41"/>
    </row>
    <row r="40" spans="1:16" ht="12.75">
      <c r="A40" s="35" t="s">
        <v>71</v>
      </c>
      <c r="B40" s="17"/>
      <c r="C40" s="19" t="s">
        <v>110</v>
      </c>
      <c r="D40" s="14"/>
      <c r="E40" s="29"/>
      <c r="F40" s="17"/>
      <c r="G40" s="30"/>
      <c r="H40" s="14"/>
      <c r="I40" s="14"/>
      <c r="J40" s="41"/>
      <c r="K40" s="41"/>
      <c r="L40" s="41"/>
      <c r="M40" s="41"/>
      <c r="N40" s="41"/>
      <c r="O40" s="41"/>
      <c r="P40" s="41"/>
    </row>
    <row r="41" spans="1:16" ht="12.75">
      <c r="A41" s="216" t="s">
        <v>72</v>
      </c>
      <c r="B41" s="217"/>
      <c r="C41" s="217"/>
      <c r="D41" s="217"/>
      <c r="E41" s="217"/>
      <c r="F41" s="217"/>
      <c r="G41" s="218"/>
      <c r="H41" s="14"/>
      <c r="I41" s="14"/>
      <c r="J41" s="41"/>
      <c r="K41" s="41"/>
      <c r="L41" s="41"/>
      <c r="M41" s="41"/>
      <c r="N41" s="41"/>
      <c r="O41" s="41"/>
      <c r="P41" s="41"/>
    </row>
    <row r="42" spans="1:16" ht="13.5" thickBot="1">
      <c r="A42" s="219"/>
      <c r="B42" s="217"/>
      <c r="C42" s="217"/>
      <c r="D42" s="217"/>
      <c r="E42" s="217"/>
      <c r="F42" s="217"/>
      <c r="G42" s="218"/>
      <c r="H42" s="14"/>
      <c r="I42" s="14"/>
      <c r="J42" s="41"/>
      <c r="K42" s="41"/>
      <c r="L42" s="41"/>
      <c r="M42" s="41"/>
      <c r="N42" s="41"/>
      <c r="O42" s="41"/>
      <c r="P42" s="41"/>
    </row>
    <row r="43" spans="1:16" ht="13.5" thickBot="1">
      <c r="A43" s="34"/>
      <c r="B43" s="8" t="s">
        <v>11</v>
      </c>
      <c r="C43" s="9" t="s">
        <v>12</v>
      </c>
      <c r="D43" s="204" t="s">
        <v>13</v>
      </c>
      <c r="E43" s="205"/>
      <c r="F43" s="204" t="s">
        <v>14</v>
      </c>
      <c r="G43" s="205"/>
      <c r="H43" s="14"/>
      <c r="I43" s="14"/>
      <c r="J43" s="41"/>
      <c r="K43" s="41"/>
      <c r="L43" s="41"/>
      <c r="M43" s="41"/>
      <c r="N43" s="41"/>
      <c r="O43" s="41"/>
      <c r="P43" s="41"/>
    </row>
    <row r="44" spans="1:16" ht="12.75">
      <c r="A44" s="72" t="s">
        <v>10</v>
      </c>
      <c r="B44" s="8" t="s">
        <v>64</v>
      </c>
      <c r="C44" s="8" t="s">
        <v>65</v>
      </c>
      <c r="D44" s="8" t="s">
        <v>66</v>
      </c>
      <c r="E44" s="8" t="s">
        <v>67</v>
      </c>
      <c r="F44" s="8" t="s">
        <v>68</v>
      </c>
      <c r="G44" s="36" t="s">
        <v>69</v>
      </c>
      <c r="H44" s="14"/>
      <c r="I44" s="14"/>
      <c r="J44" s="41"/>
      <c r="K44" s="41"/>
      <c r="L44" s="41"/>
      <c r="M44" s="41"/>
      <c r="N44" s="41"/>
      <c r="O44" s="41"/>
      <c r="P44" s="41"/>
    </row>
    <row r="45" spans="1:16" ht="12.75">
      <c r="A45" s="75" t="str">
        <f>C20</f>
        <v>KN</v>
      </c>
      <c r="B45" s="10" t="s">
        <v>70</v>
      </c>
      <c r="C45" s="10" t="s">
        <v>70</v>
      </c>
      <c r="D45" s="10" t="s">
        <v>70</v>
      </c>
      <c r="E45" s="10"/>
      <c r="F45" s="10" t="s">
        <v>70</v>
      </c>
      <c r="G45" s="37"/>
      <c r="H45" s="14"/>
      <c r="I45" s="14"/>
      <c r="J45" s="41"/>
      <c r="K45" s="41"/>
      <c r="L45" s="41"/>
      <c r="M45" s="41"/>
      <c r="N45" s="41"/>
      <c r="O45" s="41"/>
      <c r="P45" s="41"/>
    </row>
    <row r="46" spans="1:16" ht="13.5" thickBot="1">
      <c r="A46" s="73"/>
      <c r="B46" s="66">
        <f>Lecturas!C6</f>
        <v>0.001408</v>
      </c>
      <c r="C46" s="66">
        <f>Lecturas!D6</f>
        <v>0.001427</v>
      </c>
      <c r="D46" s="66">
        <f>Lecturas!E6</f>
        <v>0.001442</v>
      </c>
      <c r="E46" s="10"/>
      <c r="F46" s="66">
        <f>Lecturas!G6</f>
        <v>0.001448</v>
      </c>
      <c r="G46" s="37"/>
      <c r="H46" s="14"/>
      <c r="I46" s="14"/>
      <c r="J46" s="41"/>
      <c r="K46" s="41"/>
      <c r="L46" s="41"/>
      <c r="M46" s="41"/>
      <c r="N46" s="41"/>
      <c r="O46" s="41"/>
      <c r="P46" s="41"/>
    </row>
    <row r="47" spans="1:16" ht="12.75">
      <c r="A47" s="68">
        <v>0</v>
      </c>
      <c r="B47" s="48">
        <v>0</v>
      </c>
      <c r="C47" s="48">
        <v>0</v>
      </c>
      <c r="D47" s="48">
        <v>0</v>
      </c>
      <c r="E47" s="49"/>
      <c r="F47" s="48">
        <v>0</v>
      </c>
      <c r="G47" s="50"/>
      <c r="H47" s="14"/>
      <c r="I47" s="14"/>
      <c r="J47" s="41"/>
      <c r="K47" s="41"/>
      <c r="L47" s="41"/>
      <c r="M47" s="41"/>
      <c r="N47" s="41"/>
      <c r="O47" s="41"/>
      <c r="P47" s="41"/>
    </row>
    <row r="48" spans="1:16" ht="12.75">
      <c r="A48" s="69">
        <f>(A57*10)/100</f>
        <v>2</v>
      </c>
      <c r="B48" s="44">
        <f>Lecturas!C7-Lecturas!$C$6</f>
        <v>0.203777</v>
      </c>
      <c r="C48" s="44">
        <f>Lecturas!D7-Lecturas!$D$6</f>
        <v>0.203789</v>
      </c>
      <c r="D48" s="44">
        <f>Lecturas!E7-Lecturas!$E$6</f>
        <v>0.203847</v>
      </c>
      <c r="E48" s="44">
        <f>Lecturas!F7-Lecturas!$E$6</f>
        <v>0.203915</v>
      </c>
      <c r="F48" s="44">
        <f>Lecturas!G7-Lecturas!$G$6</f>
        <v>0.203851</v>
      </c>
      <c r="G48" s="45">
        <f>Lecturas!H7-Lecturas!$G$6</f>
        <v>0.203836</v>
      </c>
      <c r="H48" s="14"/>
      <c r="I48" s="14"/>
      <c r="J48" s="41"/>
      <c r="K48" s="41"/>
      <c r="L48" s="41"/>
      <c r="M48" s="41"/>
      <c r="N48" s="41"/>
      <c r="O48" s="41"/>
      <c r="P48" s="41"/>
    </row>
    <row r="49" spans="1:16" ht="12.75">
      <c r="A49" s="69">
        <f>(A57*20)/100</f>
        <v>4</v>
      </c>
      <c r="B49" s="44">
        <f>Lecturas!C8-Lecturas!$C$6</f>
        <v>0.40771399999999997</v>
      </c>
      <c r="C49" s="44">
        <f>Lecturas!D8-Lecturas!$D$6</f>
        <v>0.40766199999999997</v>
      </c>
      <c r="D49" s="44">
        <f>Lecturas!E8-Lecturas!$E$6</f>
        <v>0.407744</v>
      </c>
      <c r="E49" s="44">
        <f>Lecturas!F8-Lecturas!$E$6</f>
        <v>0.407791</v>
      </c>
      <c r="F49" s="44">
        <f>Lecturas!G8-Lecturas!$G$6</f>
        <v>0.40774</v>
      </c>
      <c r="G49" s="45">
        <f>Lecturas!H8-Lecturas!$G$6</f>
        <v>0.407768</v>
      </c>
      <c r="H49" s="14"/>
      <c r="I49" s="14"/>
      <c r="J49" s="41"/>
      <c r="K49" s="41"/>
      <c r="L49" s="41"/>
      <c r="M49" s="41"/>
      <c r="N49" s="41"/>
      <c r="O49" s="41"/>
      <c r="P49" s="41"/>
    </row>
    <row r="50" spans="1:16" ht="12.75">
      <c r="A50" s="69">
        <f>(A57*30)/100</f>
        <v>6</v>
      </c>
      <c r="B50" s="44">
        <f>Lecturas!C9-Lecturas!$C$6</f>
        <v>0.6118140000000001</v>
      </c>
      <c r="C50" s="44">
        <f>Lecturas!D9-Lecturas!$D$6</f>
        <v>0.6116670000000001</v>
      </c>
      <c r="D50" s="44">
        <f>Lecturas!E9-Lecturas!$E$6</f>
        <v>0.611679</v>
      </c>
      <c r="E50" s="44">
        <f>Lecturas!F9-Lecturas!$E$6</f>
        <v>0.611741</v>
      </c>
      <c r="F50" s="44">
        <f>Lecturas!G9-Lecturas!$G$6</f>
        <v>0.611764</v>
      </c>
      <c r="G50" s="45">
        <f>Lecturas!H9-Lecturas!$G$6</f>
        <v>0.611643</v>
      </c>
      <c r="H50" s="14"/>
      <c r="I50" s="14"/>
      <c r="J50" s="41"/>
      <c r="K50" s="41"/>
      <c r="L50" s="41"/>
      <c r="M50" s="41"/>
      <c r="N50" s="41"/>
      <c r="O50" s="41"/>
      <c r="P50" s="41"/>
    </row>
    <row r="51" spans="1:16" ht="12.75">
      <c r="A51" s="69">
        <f>(A57*40)/100</f>
        <v>8</v>
      </c>
      <c r="B51" s="44">
        <f>Lecturas!C10-Lecturas!$C$6</f>
        <v>0.815593</v>
      </c>
      <c r="C51" s="44">
        <f>Lecturas!D10-Lecturas!$D$6</f>
        <v>0.815604</v>
      </c>
      <c r="D51" s="44">
        <f>Lecturas!E10-Lecturas!$E$6</f>
        <v>0.8157009999999999</v>
      </c>
      <c r="E51" s="44">
        <f>Lecturas!F10-Lecturas!$E$6</f>
        <v>0.8157319999999999</v>
      </c>
      <c r="F51" s="44">
        <f>Lecturas!G10-Lecturas!$G$6</f>
        <v>0.815696</v>
      </c>
      <c r="G51" s="45">
        <f>Lecturas!H10-Lecturas!$G$6</f>
        <v>0.815795</v>
      </c>
      <c r="H51" s="14"/>
      <c r="I51" s="14"/>
      <c r="J51" s="41"/>
      <c r="K51" s="41"/>
      <c r="L51" s="41"/>
      <c r="M51" s="41"/>
      <c r="N51" s="41"/>
      <c r="O51" s="41"/>
      <c r="P51" s="41"/>
    </row>
    <row r="52" spans="1:16" ht="12.75">
      <c r="A52" s="69">
        <f>(A57*50)/100</f>
        <v>10</v>
      </c>
      <c r="B52" s="44">
        <f>Lecturas!C11-Lecturas!$C$6</f>
        <v>1.018772</v>
      </c>
      <c r="C52" s="44">
        <f>Lecturas!D11-Lecturas!$D$6</f>
        <v>1.019558</v>
      </c>
      <c r="D52" s="44">
        <f>Lecturas!E11-Lecturas!$E$6</f>
        <v>1.0196290000000001</v>
      </c>
      <c r="E52" s="44">
        <f>Lecturas!F11-Lecturas!$E$6</f>
        <v>1.0197850000000002</v>
      </c>
      <c r="F52" s="44">
        <f>Lecturas!G11-Lecturas!$G$6</f>
        <v>1.0197250000000002</v>
      </c>
      <c r="G52" s="45">
        <f>Lecturas!H11-Lecturas!$G$6</f>
        <v>1.0196960000000002</v>
      </c>
      <c r="H52" s="14"/>
      <c r="I52" s="14"/>
      <c r="J52" s="41"/>
      <c r="K52" s="41"/>
      <c r="L52" s="41"/>
      <c r="M52" s="41"/>
      <c r="N52" s="41"/>
      <c r="O52" s="41"/>
      <c r="P52" s="41"/>
    </row>
    <row r="53" spans="1:16" ht="12.75">
      <c r="A53" s="69">
        <f>(A57*60)/100</f>
        <v>12</v>
      </c>
      <c r="B53" s="44">
        <f>Lecturas!C12-Lecturas!$C$6</f>
        <v>1.22362</v>
      </c>
      <c r="C53" s="44">
        <f>Lecturas!D12-Lecturas!$D$6</f>
        <v>1.223615</v>
      </c>
      <c r="D53" s="44">
        <f>Lecturas!E12-Lecturas!$E$6</f>
        <v>1.223679</v>
      </c>
      <c r="E53" s="44">
        <f>Lecturas!F12-Lecturas!$E$6</f>
        <v>1.22385</v>
      </c>
      <c r="F53" s="44">
        <f>Lecturas!G12-Lecturas!$G$6</f>
        <v>1.22363</v>
      </c>
      <c r="G53" s="45">
        <f>Lecturas!H12-Lecturas!$G$6</f>
        <v>1.223767</v>
      </c>
      <c r="H53" s="14"/>
      <c r="I53" s="14"/>
      <c r="J53" s="41"/>
      <c r="K53" s="41"/>
      <c r="L53" s="41"/>
      <c r="M53" s="41"/>
      <c r="N53" s="41"/>
      <c r="O53" s="41"/>
      <c r="P53" s="41"/>
    </row>
    <row r="54" spans="1:16" ht="12.75">
      <c r="A54" s="69">
        <f>(A57*70)/100</f>
        <v>14</v>
      </c>
      <c r="B54" s="44">
        <f>Lecturas!C13-Lecturas!$C$6</f>
        <v>1.427651</v>
      </c>
      <c r="C54" s="44">
        <f>Lecturas!D13-Lecturas!$D$6</f>
        <v>1.427717</v>
      </c>
      <c r="D54" s="44">
        <f>Lecturas!E13-Lecturas!$E$6</f>
        <v>1.427704</v>
      </c>
      <c r="E54" s="44">
        <f>Lecturas!F13-Lecturas!$E$6</f>
        <v>1.427858</v>
      </c>
      <c r="F54" s="44">
        <f>Lecturas!G13-Lecturas!$G$6</f>
        <v>1.4278060000000001</v>
      </c>
      <c r="G54" s="45">
        <f>Lecturas!H13-Lecturas!$G$6</f>
        <v>1.4278950000000001</v>
      </c>
      <c r="H54" s="14"/>
      <c r="I54" s="14"/>
      <c r="J54" s="41"/>
      <c r="K54" s="41"/>
      <c r="L54" s="41"/>
      <c r="M54" s="41"/>
      <c r="N54" s="41"/>
      <c r="O54" s="41"/>
      <c r="P54" s="41"/>
    </row>
    <row r="55" spans="1:16" ht="12.75">
      <c r="A55" s="69">
        <f>(A57*80)/100</f>
        <v>16</v>
      </c>
      <c r="B55" s="44">
        <f>Lecturas!C14-Lecturas!$C$6</f>
        <v>1.6317279999999998</v>
      </c>
      <c r="C55" s="44">
        <f>Lecturas!D14-Lecturas!$D$6</f>
        <v>1.63177</v>
      </c>
      <c r="D55" s="44">
        <f>Lecturas!E14-Lecturas!$E$6</f>
        <v>1.6318570000000001</v>
      </c>
      <c r="E55" s="44">
        <f>Lecturas!F14-Lecturas!$E$6</f>
        <v>1.6319080000000001</v>
      </c>
      <c r="F55" s="44">
        <f>Lecturas!G14-Lecturas!$G$6</f>
        <v>1.6317480000000002</v>
      </c>
      <c r="G55" s="45">
        <f>Lecturas!H14-Lecturas!$G$6</f>
        <v>1.631912</v>
      </c>
      <c r="H55" s="14"/>
      <c r="I55" s="14"/>
      <c r="J55" s="41"/>
      <c r="K55" s="41"/>
      <c r="L55" s="41"/>
      <c r="M55" s="41"/>
      <c r="N55" s="41"/>
      <c r="O55" s="41"/>
      <c r="P55" s="41"/>
    </row>
    <row r="56" spans="1:16" ht="12.75">
      <c r="A56" s="69">
        <f>(A57*90)/100</f>
        <v>18</v>
      </c>
      <c r="B56" s="44">
        <f>Lecturas!C15-Lecturas!$C$6</f>
        <v>1.8357269999999999</v>
      </c>
      <c r="C56" s="44">
        <f>Lecturas!D15-Lecturas!$D$6</f>
        <v>1.835705</v>
      </c>
      <c r="D56" s="44">
        <f>Lecturas!E15-Lecturas!$E$6</f>
        <v>1.835852</v>
      </c>
      <c r="E56" s="44">
        <f>Lecturas!F15-Lecturas!$E$6</f>
        <v>1.835947</v>
      </c>
      <c r="F56" s="44">
        <f>Lecturas!G15-Lecturas!$G$6</f>
        <v>1.835793</v>
      </c>
      <c r="G56" s="45">
        <f>Lecturas!H15-Lecturas!$G$6</f>
        <v>1.8359830000000001</v>
      </c>
      <c r="H56" s="14"/>
      <c r="I56" s="14"/>
      <c r="J56" s="41"/>
      <c r="K56" s="41"/>
      <c r="L56" s="41"/>
      <c r="M56" s="41"/>
      <c r="N56" s="41"/>
      <c r="O56" s="41"/>
      <c r="P56" s="41"/>
    </row>
    <row r="57" spans="1:16" ht="12.75">
      <c r="A57" s="69">
        <f>CargaMaximaTransCal</f>
        <v>20</v>
      </c>
      <c r="B57" s="44">
        <f>Lecturas!C16-Lecturas!$C$6</f>
        <v>2.039724</v>
      </c>
      <c r="C57" s="44">
        <f>Lecturas!D16-Lecturas!$D$6</f>
        <v>2.039843</v>
      </c>
      <c r="D57" s="44">
        <f>Lecturas!E16-Lecturas!$E$6</f>
        <v>2.039864</v>
      </c>
      <c r="E57" s="53"/>
      <c r="F57" s="44">
        <f>Lecturas!G16-Lecturas!$G$6</f>
        <v>2.039924</v>
      </c>
      <c r="G57" s="51"/>
      <c r="H57" s="14"/>
      <c r="I57" s="14"/>
      <c r="J57" s="41"/>
      <c r="K57" s="41"/>
      <c r="L57" s="41"/>
      <c r="M57" s="41"/>
      <c r="N57" s="41"/>
      <c r="O57" s="41"/>
      <c r="P57" s="41"/>
    </row>
    <row r="58" spans="1:16" ht="13.5" thickBot="1">
      <c r="A58" s="70">
        <v>0</v>
      </c>
      <c r="B58" s="44">
        <f>Lecturas!C17-Lecturas!$C$6</f>
        <v>4.3999999999999985E-05</v>
      </c>
      <c r="C58" s="44">
        <f>Lecturas!D17-Lecturas!$D$6</f>
        <v>3.399999999999996E-05</v>
      </c>
      <c r="D58" s="52"/>
      <c r="E58" s="46">
        <f>Lecturas!F17-Lecturas!E6</f>
        <v>-1.0999999999999942E-05</v>
      </c>
      <c r="F58" s="52"/>
      <c r="G58" s="47">
        <f>Lecturas!H17-Lecturas!G6</f>
        <v>-2.099999999999997E-05</v>
      </c>
      <c r="H58" s="14"/>
      <c r="I58" s="14"/>
      <c r="J58" s="41"/>
      <c r="K58" s="41"/>
      <c r="L58" s="41"/>
      <c r="M58" s="41"/>
      <c r="N58" s="41"/>
      <c r="O58" s="41"/>
      <c r="P58" s="41"/>
    </row>
    <row r="59" spans="1:16" ht="12.75">
      <c r="A59" s="16"/>
      <c r="B59" s="17"/>
      <c r="C59" s="17"/>
      <c r="D59" s="17"/>
      <c r="E59" s="17"/>
      <c r="F59" s="17" t="s">
        <v>98</v>
      </c>
      <c r="G59" s="30"/>
      <c r="H59" s="14"/>
      <c r="I59" s="14"/>
      <c r="J59" s="41"/>
      <c r="K59" s="41"/>
      <c r="L59" s="41"/>
      <c r="M59" s="41"/>
      <c r="N59" s="41"/>
      <c r="O59" s="41"/>
      <c r="P59" s="41"/>
    </row>
    <row r="60" spans="1:16" ht="13.5" thickBot="1">
      <c r="A60" s="16"/>
      <c r="B60" s="17"/>
      <c r="C60" s="17"/>
      <c r="D60" s="17"/>
      <c r="E60" s="17"/>
      <c r="F60" s="17" t="s">
        <v>99</v>
      </c>
      <c r="G60" s="30"/>
      <c r="H60" s="14"/>
      <c r="I60" s="14"/>
      <c r="J60" s="41"/>
      <c r="K60" s="41"/>
      <c r="L60" s="41"/>
      <c r="M60" s="41"/>
      <c r="N60" s="41"/>
      <c r="O60" s="41"/>
      <c r="P60" s="41"/>
    </row>
    <row r="61" spans="1:16" ht="13.5" thickBot="1">
      <c r="A61" s="16" t="s">
        <v>86</v>
      </c>
      <c r="B61" s="43"/>
      <c r="C61" s="3"/>
      <c r="D61" s="33"/>
      <c r="E61" s="17"/>
      <c r="F61" s="17"/>
      <c r="G61" s="30"/>
      <c r="H61" s="15"/>
      <c r="I61" s="14"/>
      <c r="J61" s="41"/>
      <c r="K61" s="41"/>
      <c r="L61" s="41"/>
      <c r="M61" s="41"/>
      <c r="N61" s="41"/>
      <c r="O61" s="41"/>
      <c r="P61" s="41"/>
    </row>
    <row r="62" spans="1:16" ht="13.5" thickBot="1">
      <c r="A62" s="16" t="s">
        <v>87</v>
      </c>
      <c r="B62" s="200"/>
      <c r="C62" s="201"/>
      <c r="D62" s="202"/>
      <c r="E62" s="20"/>
      <c r="F62" s="20"/>
      <c r="G62" s="38"/>
      <c r="H62" s="15"/>
      <c r="I62" s="14"/>
      <c r="J62" s="41"/>
      <c r="K62" s="41"/>
      <c r="L62" s="41"/>
      <c r="M62" s="41"/>
      <c r="N62" s="41"/>
      <c r="O62" s="41"/>
      <c r="P62" s="41"/>
    </row>
    <row r="63" spans="1:16" ht="12.75">
      <c r="A63" s="16"/>
      <c r="B63" s="17"/>
      <c r="C63" s="17"/>
      <c r="D63" s="17"/>
      <c r="E63" s="17"/>
      <c r="F63" s="17"/>
      <c r="G63" s="30"/>
      <c r="H63" s="15"/>
      <c r="I63" s="14"/>
      <c r="J63" s="41"/>
      <c r="K63" s="41"/>
      <c r="L63" s="41"/>
      <c r="M63" s="41"/>
      <c r="N63" s="41"/>
      <c r="O63" s="41"/>
      <c r="P63" s="41"/>
    </row>
    <row r="64" spans="1:16" ht="12.75">
      <c r="A64" s="16"/>
      <c r="B64" s="17"/>
      <c r="C64" s="17"/>
      <c r="D64" s="17"/>
      <c r="E64" s="17"/>
      <c r="F64" s="17"/>
      <c r="G64" s="30"/>
      <c r="H64" s="14"/>
      <c r="I64" s="14"/>
      <c r="J64" s="41"/>
      <c r="K64" s="41"/>
      <c r="L64" s="41"/>
      <c r="M64" s="41"/>
      <c r="N64" s="41"/>
      <c r="O64" s="41"/>
      <c r="P64" s="41"/>
    </row>
    <row r="65" spans="1:16" ht="12.75">
      <c r="A65" s="31"/>
      <c r="B65" s="15"/>
      <c r="C65" s="15"/>
      <c r="D65" s="15"/>
      <c r="E65" s="15"/>
      <c r="F65" s="15"/>
      <c r="G65" s="39"/>
      <c r="H65" s="14"/>
      <c r="I65" s="14"/>
      <c r="J65" s="41"/>
      <c r="K65" s="41"/>
      <c r="L65" s="41"/>
      <c r="M65" s="41"/>
      <c r="N65" s="41"/>
      <c r="O65" s="41"/>
      <c r="P65" s="41"/>
    </row>
    <row r="66" spans="1:16" ht="12.75">
      <c r="A66" s="31"/>
      <c r="B66" s="15"/>
      <c r="C66" s="15"/>
      <c r="D66" s="15"/>
      <c r="E66" s="15"/>
      <c r="F66" s="15"/>
      <c r="G66" s="39"/>
      <c r="H66" s="14"/>
      <c r="I66" s="14"/>
      <c r="J66" s="41"/>
      <c r="K66" s="41"/>
      <c r="L66" s="41"/>
      <c r="M66" s="41"/>
      <c r="N66" s="41"/>
      <c r="O66" s="41"/>
      <c r="P66" s="41"/>
    </row>
    <row r="67" spans="1:16" ht="12.75">
      <c r="A67" s="42"/>
      <c r="B67" s="42"/>
      <c r="C67" s="42"/>
      <c r="D67" s="42"/>
      <c r="E67" s="42"/>
      <c r="F67" s="42"/>
      <c r="G67" s="42"/>
      <c r="H67" s="41"/>
      <c r="I67" s="41"/>
      <c r="J67" s="41"/>
      <c r="K67" s="41"/>
      <c r="L67" s="41"/>
      <c r="M67" s="41"/>
      <c r="N67" s="41"/>
      <c r="O67" s="41"/>
      <c r="P67" s="41"/>
    </row>
    <row r="68" spans="1:27" ht="12.7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</row>
    <row r="69" spans="1:27" ht="12.7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</row>
    <row r="70" spans="1:27" ht="12.7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</row>
    <row r="71" spans="1:27" ht="12.7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</row>
    <row r="72" spans="1:27" ht="12.7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</row>
    <row r="73" spans="1:27" ht="12.7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</row>
    <row r="74" spans="1:27" ht="12.7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</row>
    <row r="75" spans="1:27" ht="12.7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</row>
    <row r="76" spans="1:27" ht="12.7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</row>
    <row r="77" spans="1:27" ht="12.7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</row>
    <row r="78" spans="1:27" ht="12.7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</row>
    <row r="79" spans="1:27" ht="12.7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</row>
    <row r="80" spans="1:27" ht="12.7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</row>
    <row r="81" spans="1:27" ht="12.7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</row>
    <row r="82" spans="1:27" ht="12.7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</row>
    <row r="83" spans="1:27" ht="12.7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</row>
    <row r="84" spans="1:27" ht="12.7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</row>
    <row r="85" spans="1:27" ht="12.7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</row>
    <row r="86" spans="1:27" ht="12.7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</row>
    <row r="87" spans="1:27" ht="12.7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</row>
    <row r="88" spans="1:27" ht="12.7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</row>
    <row r="89" spans="1:27" ht="12.7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</row>
    <row r="90" spans="1:27" ht="12.75">
      <c r="A90" s="41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</row>
    <row r="91" spans="1:27" ht="12.75">
      <c r="A91" s="41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</row>
    <row r="92" spans="1:27" ht="12.75">
      <c r="A92" s="41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</row>
    <row r="93" spans="1:27" ht="12.75">
      <c r="A93" s="41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</row>
    <row r="94" spans="1:27" ht="12.75">
      <c r="A94" s="41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1"/>
      <c r="Z94" s="41"/>
      <c r="AA94" s="41"/>
    </row>
    <row r="95" spans="1:27" ht="12.75">
      <c r="A95" s="41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41"/>
      <c r="P95" s="41"/>
      <c r="Q95" s="41"/>
      <c r="R95" s="41"/>
      <c r="S95" s="41"/>
      <c r="T95" s="41"/>
      <c r="U95" s="41"/>
      <c r="V95" s="41"/>
      <c r="W95" s="41"/>
      <c r="X95" s="41"/>
      <c r="Y95" s="41"/>
      <c r="Z95" s="41"/>
      <c r="AA95" s="41"/>
    </row>
    <row r="96" spans="1:27" ht="12.75">
      <c r="A96" s="41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</row>
    <row r="97" spans="1:27" ht="12.75">
      <c r="A97" s="41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41"/>
      <c r="P97" s="41"/>
      <c r="Q97" s="41"/>
      <c r="R97" s="41"/>
      <c r="S97" s="41"/>
      <c r="T97" s="41"/>
      <c r="U97" s="41"/>
      <c r="V97" s="41"/>
      <c r="W97" s="41"/>
      <c r="X97" s="41"/>
      <c r="Y97" s="41"/>
      <c r="Z97" s="41"/>
      <c r="AA97" s="41"/>
    </row>
    <row r="98" spans="1:27" ht="12.75">
      <c r="A98" s="41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1"/>
      <c r="Z98" s="41"/>
      <c r="AA98" s="41"/>
    </row>
    <row r="99" spans="8:13" ht="12.75">
      <c r="H99" s="5"/>
      <c r="I99" s="5"/>
      <c r="J99" s="5"/>
      <c r="K99" s="5"/>
      <c r="L99" s="5"/>
      <c r="M99" s="5"/>
    </row>
    <row r="100" spans="8:13" ht="12.75">
      <c r="H100" s="5"/>
      <c r="I100" s="5"/>
      <c r="J100" s="5"/>
      <c r="K100" s="5"/>
      <c r="L100" s="5"/>
      <c r="M100" s="5"/>
    </row>
    <row r="101" spans="8:13" ht="12.75">
      <c r="H101" s="5"/>
      <c r="I101" s="5"/>
      <c r="J101" s="5"/>
      <c r="K101" s="5"/>
      <c r="L101" s="5"/>
      <c r="M101" s="5"/>
    </row>
    <row r="102" spans="8:13" ht="12.75">
      <c r="H102" s="5"/>
      <c r="I102" s="5"/>
      <c r="J102" s="5"/>
      <c r="K102" s="5"/>
      <c r="L102" s="5"/>
      <c r="M102" s="5"/>
    </row>
    <row r="103" spans="8:13" ht="12.75">
      <c r="H103" s="5"/>
      <c r="I103" s="5"/>
      <c r="J103" s="5"/>
      <c r="K103" s="5"/>
      <c r="L103" s="5"/>
      <c r="M103" s="5"/>
    </row>
    <row r="104" spans="8:13" ht="12.75">
      <c r="H104" s="5"/>
      <c r="I104" s="5"/>
      <c r="J104" s="5"/>
      <c r="K104" s="5"/>
      <c r="L104" s="5"/>
      <c r="M104" s="5"/>
    </row>
    <row r="105" spans="8:13" ht="12.75">
      <c r="H105" s="5"/>
      <c r="I105" s="5"/>
      <c r="J105" s="5"/>
      <c r="K105" s="5"/>
      <c r="L105" s="5"/>
      <c r="M105" s="5"/>
    </row>
    <row r="106" spans="8:13" ht="12.75">
      <c r="H106" s="5"/>
      <c r="I106" s="5"/>
      <c r="J106" s="5"/>
      <c r="K106" s="5"/>
      <c r="L106" s="5"/>
      <c r="M106" s="5"/>
    </row>
    <row r="107" spans="8:13" ht="12.75">
      <c r="H107" s="5"/>
      <c r="I107" s="5"/>
      <c r="J107" s="5"/>
      <c r="K107" s="5"/>
      <c r="L107" s="5"/>
      <c r="M107" s="5"/>
    </row>
    <row r="108" spans="8:13" ht="12.75">
      <c r="H108" s="5"/>
      <c r="I108" s="5"/>
      <c r="J108" s="5"/>
      <c r="K108" s="5"/>
      <c r="L108" s="5"/>
      <c r="M108" s="5"/>
    </row>
    <row r="109" spans="8:13" ht="12.75">
      <c r="H109" s="5"/>
      <c r="I109" s="5"/>
      <c r="J109" s="5"/>
      <c r="K109" s="5"/>
      <c r="L109" s="5"/>
      <c r="M109" s="5"/>
    </row>
    <row r="110" spans="8:13" ht="12.75">
      <c r="H110" s="5"/>
      <c r="I110" s="5"/>
      <c r="J110" s="5"/>
      <c r="K110" s="5"/>
      <c r="L110" s="5"/>
      <c r="M110" s="5"/>
    </row>
    <row r="111" spans="8:13" ht="12.75">
      <c r="H111" s="5"/>
      <c r="I111" s="5"/>
      <c r="J111" s="5"/>
      <c r="K111" s="5"/>
      <c r="L111" s="5"/>
      <c r="M111" s="5"/>
    </row>
  </sheetData>
  <sheetProtection sheet="1" objects="1" scenarios="1"/>
  <mergeCells count="16">
    <mergeCell ref="B9:E9"/>
    <mergeCell ref="A2:B4"/>
    <mergeCell ref="C5:E6"/>
    <mergeCell ref="F5:G6"/>
    <mergeCell ref="C1:I2"/>
    <mergeCell ref="C3:I4"/>
    <mergeCell ref="B62:D62"/>
    <mergeCell ref="A35:B35"/>
    <mergeCell ref="D43:E43"/>
    <mergeCell ref="A5:B6"/>
    <mergeCell ref="E13:E14"/>
    <mergeCell ref="B24:I25"/>
    <mergeCell ref="F43:G43"/>
    <mergeCell ref="A41:G42"/>
    <mergeCell ref="B10:D10"/>
    <mergeCell ref="B11:C11"/>
  </mergeCells>
  <printOptions/>
  <pageMargins left="0.47" right="0.75" top="1" bottom="1" header="0" footer="0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66"/>
  <sheetViews>
    <sheetView zoomScale="90" zoomScaleNormal="90" workbookViewId="0" topLeftCell="A1">
      <selection activeCell="H28" sqref="H28"/>
    </sheetView>
  </sheetViews>
  <sheetFormatPr defaultColWidth="11.421875" defaultRowHeight="12.75"/>
  <cols>
    <col min="1" max="1" width="12.421875" style="0" customWidth="1"/>
    <col min="2" max="2" width="10.421875" style="0" customWidth="1"/>
    <col min="3" max="3" width="6.421875" style="0" customWidth="1"/>
    <col min="5" max="5" width="16.421875" style="0" customWidth="1"/>
    <col min="6" max="6" width="10.421875" style="0" customWidth="1"/>
    <col min="7" max="7" width="12.57421875" style="0" bestFit="1" customWidth="1"/>
  </cols>
  <sheetData>
    <row r="1" spans="1:18" ht="12.75">
      <c r="A1" s="14"/>
      <c r="B1" s="14"/>
      <c r="C1" s="14"/>
      <c r="D1" s="14"/>
      <c r="E1" s="14"/>
      <c r="F1" s="14"/>
      <c r="G1" s="14"/>
      <c r="H1" s="14"/>
      <c r="I1" s="14"/>
      <c r="J1" s="41"/>
      <c r="K1" s="41"/>
      <c r="L1" s="41"/>
      <c r="M1" s="41"/>
      <c r="N1" s="41"/>
      <c r="O1" s="41"/>
      <c r="P1" s="41"/>
      <c r="Q1" s="41"/>
      <c r="R1" s="41"/>
    </row>
    <row r="2" spans="1:18" ht="14.25">
      <c r="A2" s="18" t="s">
        <v>20</v>
      </c>
      <c r="B2" s="14"/>
      <c r="C2" s="18"/>
      <c r="D2" s="14"/>
      <c r="E2" s="14"/>
      <c r="F2" s="14"/>
      <c r="G2" s="14"/>
      <c r="H2" s="14"/>
      <c r="I2" s="14"/>
      <c r="J2" s="41"/>
      <c r="K2" s="41"/>
      <c r="L2" s="41"/>
      <c r="M2" s="41"/>
      <c r="N2" s="41"/>
      <c r="O2" s="41"/>
      <c r="P2" s="41"/>
      <c r="Q2" s="41"/>
      <c r="R2" s="41"/>
    </row>
    <row r="3" spans="1:18" ht="15" thickBot="1">
      <c r="A3" s="21" t="s">
        <v>33</v>
      </c>
      <c r="B3" s="14"/>
      <c r="C3" s="14"/>
      <c r="D3" s="14"/>
      <c r="E3" s="14"/>
      <c r="F3" s="14"/>
      <c r="G3" s="14"/>
      <c r="H3" s="14"/>
      <c r="I3" s="14"/>
      <c r="J3" s="41"/>
      <c r="K3" s="41"/>
      <c r="L3" s="41"/>
      <c r="M3" s="41"/>
      <c r="N3" s="41"/>
      <c r="O3" s="41"/>
      <c r="P3" s="41"/>
      <c r="Q3" s="41"/>
      <c r="R3" s="41"/>
    </row>
    <row r="4" spans="1:18" ht="15.75">
      <c r="A4" s="14"/>
      <c r="B4" s="14"/>
      <c r="C4" s="118" t="s">
        <v>21</v>
      </c>
      <c r="D4" s="119" t="s">
        <v>22</v>
      </c>
      <c r="E4" s="119" t="s">
        <v>23</v>
      </c>
      <c r="F4" s="119" t="s">
        <v>24</v>
      </c>
      <c r="G4" s="120" t="s">
        <v>25</v>
      </c>
      <c r="H4" s="14"/>
      <c r="I4" s="14"/>
      <c r="J4" s="41"/>
      <c r="K4" s="41"/>
      <c r="L4" s="41"/>
      <c r="M4" s="41"/>
      <c r="N4" s="41"/>
      <c r="O4" s="41"/>
      <c r="P4" s="41"/>
      <c r="Q4" s="41"/>
      <c r="R4" s="41"/>
    </row>
    <row r="5" spans="1:18" ht="15" thickBot="1">
      <c r="A5" s="14"/>
      <c r="B5" s="14"/>
      <c r="C5" s="121" t="s">
        <v>26</v>
      </c>
      <c r="D5" s="193">
        <f>ABS(('Toma datos'!B58-'Toma datos'!B47)/'Toma datos'!B57*100)</f>
        <v>0.002157154595425655</v>
      </c>
      <c r="E5" s="193">
        <f>ABS(('Toma datos'!C58-'Toma datos'!C47)/'Toma datos'!C57*100)</f>
        <v>0.0016667949445128844</v>
      </c>
      <c r="F5" s="193">
        <f>ABS(('Toma datos'!E58-'Toma datos'!D47)/'Toma datos'!D57*100)</f>
        <v>0.0005392516363835992</v>
      </c>
      <c r="G5" s="193">
        <f>ABS(('Toma datos'!G58-'Toma datos'!F5)/'Toma datos'!F57*100)</f>
        <v>0.0010294501167690546</v>
      </c>
      <c r="H5" s="14"/>
      <c r="I5" s="14"/>
      <c r="J5" s="41"/>
      <c r="K5" s="41"/>
      <c r="L5" s="41"/>
      <c r="M5" s="41"/>
      <c r="N5" s="41"/>
      <c r="O5" s="41"/>
      <c r="P5" s="41"/>
      <c r="Q5" s="41"/>
      <c r="R5" s="41"/>
    </row>
    <row r="6" spans="1:18" ht="12.75">
      <c r="A6" s="14"/>
      <c r="B6" s="14"/>
      <c r="C6" s="14"/>
      <c r="D6" s="14"/>
      <c r="E6" s="14"/>
      <c r="F6" s="14"/>
      <c r="G6" s="14"/>
      <c r="H6" s="14"/>
      <c r="I6" s="14"/>
      <c r="J6" s="41"/>
      <c r="K6" s="41"/>
      <c r="L6" s="41"/>
      <c r="M6" s="41"/>
      <c r="N6" s="41"/>
      <c r="O6" s="41"/>
      <c r="P6" s="41"/>
      <c r="Q6" s="41"/>
      <c r="R6" s="41"/>
    </row>
    <row r="7" spans="1:18" ht="12.75">
      <c r="A7" s="14"/>
      <c r="B7" s="14"/>
      <c r="C7" s="14"/>
      <c r="D7" s="14"/>
      <c r="E7" s="14"/>
      <c r="F7" s="14"/>
      <c r="G7" s="14"/>
      <c r="H7" s="14"/>
      <c r="I7" s="14"/>
      <c r="J7" s="41"/>
      <c r="K7" s="41"/>
      <c r="L7" s="41"/>
      <c r="M7" s="41"/>
      <c r="N7" s="41"/>
      <c r="O7" s="41"/>
      <c r="P7" s="41"/>
      <c r="Q7" s="41"/>
      <c r="R7" s="41"/>
    </row>
    <row r="8" spans="1:18" ht="12.75">
      <c r="A8" s="14"/>
      <c r="B8" s="14"/>
      <c r="C8" s="14"/>
      <c r="D8" s="14"/>
      <c r="E8" s="14"/>
      <c r="F8" s="14"/>
      <c r="G8" s="14"/>
      <c r="H8" s="14"/>
      <c r="I8" s="14"/>
      <c r="J8" s="41"/>
      <c r="K8" s="41"/>
      <c r="L8" s="41"/>
      <c r="M8" s="41"/>
      <c r="N8" s="41"/>
      <c r="O8" s="41"/>
      <c r="P8" s="41"/>
      <c r="Q8" s="41"/>
      <c r="R8" s="41"/>
    </row>
    <row r="9" spans="1:18" ht="14.25">
      <c r="A9" s="18" t="s">
        <v>32</v>
      </c>
      <c r="B9" s="14"/>
      <c r="C9" s="14"/>
      <c r="D9" s="14"/>
      <c r="E9" s="14"/>
      <c r="F9" s="14"/>
      <c r="G9" s="14"/>
      <c r="H9" s="14"/>
      <c r="I9" s="14"/>
      <c r="J9" s="41"/>
      <c r="K9" s="41"/>
      <c r="L9" s="41"/>
      <c r="M9" s="41"/>
      <c r="N9" s="41"/>
      <c r="O9" s="41"/>
      <c r="P9" s="41"/>
      <c r="Q9" s="41"/>
      <c r="R9" s="41"/>
    </row>
    <row r="10" spans="1:18" ht="12.75">
      <c r="A10" s="14"/>
      <c r="B10" s="14"/>
      <c r="C10" s="14"/>
      <c r="D10" s="14"/>
      <c r="E10" s="14"/>
      <c r="F10" s="14"/>
      <c r="G10" s="14"/>
      <c r="H10" s="14"/>
      <c r="I10" s="14"/>
      <c r="J10" s="41"/>
      <c r="K10" s="41"/>
      <c r="L10" s="41"/>
      <c r="M10" s="41"/>
      <c r="N10" s="41"/>
      <c r="O10" s="41"/>
      <c r="P10" s="41"/>
      <c r="Q10" s="41"/>
      <c r="R10" s="41"/>
    </row>
    <row r="11" spans="1:18" ht="13.5" thickBot="1">
      <c r="A11" s="14"/>
      <c r="B11" s="14"/>
      <c r="C11" s="14"/>
      <c r="D11" s="14"/>
      <c r="E11" s="14"/>
      <c r="F11" s="14"/>
      <c r="G11" s="14"/>
      <c r="H11" s="14"/>
      <c r="I11" s="14"/>
      <c r="J11" s="41"/>
      <c r="K11" s="41"/>
      <c r="L11" s="41"/>
      <c r="M11" s="41"/>
      <c r="N11" s="41"/>
      <c r="O11" s="41"/>
      <c r="P11" s="41"/>
      <c r="Q11" s="41"/>
      <c r="R11" s="41"/>
    </row>
    <row r="12" spans="1:18" ht="14.25">
      <c r="A12" s="125" t="s">
        <v>10</v>
      </c>
      <c r="B12" s="126" t="s">
        <v>27</v>
      </c>
      <c r="C12" s="126" t="s">
        <v>28</v>
      </c>
      <c r="D12" s="126" t="s">
        <v>29</v>
      </c>
      <c r="E12" s="126" t="s">
        <v>30</v>
      </c>
      <c r="F12" s="126" t="s">
        <v>155</v>
      </c>
      <c r="G12" s="127" t="s">
        <v>31</v>
      </c>
      <c r="H12" s="14"/>
      <c r="I12" s="14"/>
      <c r="J12" s="41"/>
      <c r="K12" s="41"/>
      <c r="L12" s="41"/>
      <c r="M12" s="41"/>
      <c r="N12" s="41"/>
      <c r="O12" s="41"/>
      <c r="P12" s="41"/>
      <c r="Q12" s="41"/>
      <c r="R12" s="41"/>
    </row>
    <row r="13" spans="1:18" ht="13.5" thickBot="1">
      <c r="A13" s="128" t="str">
        <f>'Toma datos'!A45</f>
        <v>KN</v>
      </c>
      <c r="B13" s="129" t="str">
        <f>"("&amp;TEXT('Toma datos'!F21,"#,0")&amp;")"</f>
        <v>(mV/V)</v>
      </c>
      <c r="C13" s="129"/>
      <c r="D13" s="129" t="str">
        <f>"("&amp;TEXT('Toma datos'!F21,"#,0")&amp;")"</f>
        <v>(mV/V)</v>
      </c>
      <c r="E13" s="129"/>
      <c r="F13" s="129"/>
      <c r="G13" s="130"/>
      <c r="H13" s="14"/>
      <c r="I13" s="14"/>
      <c r="J13" s="41"/>
      <c r="K13" s="41"/>
      <c r="L13" s="41"/>
      <c r="M13" s="41"/>
      <c r="N13" s="41"/>
      <c r="O13" s="41"/>
      <c r="P13" s="41"/>
      <c r="Q13" s="41"/>
      <c r="R13" s="41"/>
    </row>
    <row r="14" spans="1:18" ht="12.75">
      <c r="A14" s="122">
        <f>(A23*10)/100</f>
        <v>2</v>
      </c>
      <c r="B14" s="189">
        <f>('Toma datos'!B48+'Toma datos'!D48+'Toma datos'!F48)/3</f>
        <v>0.203825</v>
      </c>
      <c r="C14" s="151">
        <f>(MAX('Toma datos'!B48,'Toma datos'!D48,'Toma datos'!F48)-MIN('Toma datos'!B48,'Toma datos'!D48,'Toma datos'!F48))/B14*100</f>
        <v>0.03630565436035361</v>
      </c>
      <c r="D14" s="189">
        <f>('Toma datos'!B48+'Toma datos'!C48)/2</f>
        <v>0.203783</v>
      </c>
      <c r="E14" s="191">
        <f>ABS('Toma datos'!C48-'Toma datos'!B48)/D14*100</f>
        <v>0.005888616812974706</v>
      </c>
      <c r="F14" s="123">
        <f>(B14-Auxiliar!C5)/Auxiliar!C5*100</f>
        <v>4974.5107903938615</v>
      </c>
      <c r="G14" s="191">
        <f>ABS(('Toma datos'!E48-'Toma datos'!D48)/'Toma datos'!D48)*100/2+ABS(('Toma datos'!G48-'Toma datos'!F48)/'Toma datos'!F48)*100/2</f>
        <v>0.020358333864958084</v>
      </c>
      <c r="H14" s="14"/>
      <c r="I14" s="14"/>
      <c r="J14" s="41"/>
      <c r="K14" s="41"/>
      <c r="L14" s="41"/>
      <c r="M14" s="41"/>
      <c r="N14" s="41"/>
      <c r="O14" s="41"/>
      <c r="P14" s="41"/>
      <c r="Q14" s="41"/>
      <c r="R14" s="41"/>
    </row>
    <row r="15" spans="1:18" ht="12.75">
      <c r="A15" s="124">
        <f>(A23*20)/100</f>
        <v>4</v>
      </c>
      <c r="B15" s="190">
        <f>('Toma datos'!B49+'Toma datos'!D49+'Toma datos'!F49)/3</f>
        <v>0.4077326666666667</v>
      </c>
      <c r="C15" s="137">
        <f>(MAX('Toma datos'!B49,'Toma datos'!D49,'Toma datos'!F49)-MIN('Toma datos'!B49,'Toma datos'!D49,'Toma datos'!F49))/B15*100</f>
        <v>0.007357762193863136</v>
      </c>
      <c r="D15" s="190">
        <f>('Toma datos'!B49+'Toma datos'!C49)/2</f>
        <v>0.40768799999999994</v>
      </c>
      <c r="E15" s="192">
        <f>ABS('Toma datos'!C49-'Toma datos'!B49)/D15*100</f>
        <v>0.012754851749376118</v>
      </c>
      <c r="F15" s="13">
        <f>(B15-Auxiliar!C6)/Auxiliar!C6*100</f>
        <v>4937.384832706596</v>
      </c>
      <c r="G15" s="192">
        <f>ABS(('Toma datos'!E49-'Toma datos'!D49)/'Toma datos'!D49)*100/2+ABS(('Toma datos'!G49-'Toma datos'!F49)/'Toma datos'!F49)*100/2</f>
        <v>0.009196980787564677</v>
      </c>
      <c r="H15" s="14"/>
      <c r="I15" s="14"/>
      <c r="J15" s="41"/>
      <c r="K15" s="41"/>
      <c r="L15" s="41"/>
      <c r="M15" s="41"/>
      <c r="N15" s="41"/>
      <c r="O15" s="41"/>
      <c r="P15" s="41"/>
      <c r="Q15" s="41"/>
      <c r="R15" s="41"/>
    </row>
    <row r="16" spans="1:18" ht="12.75">
      <c r="A16" s="124">
        <f>(A23*30)/100</f>
        <v>6</v>
      </c>
      <c r="B16" s="190">
        <f>('Toma datos'!B50+'Toma datos'!D50+'Toma datos'!F50)/3</f>
        <v>0.6117523333333333</v>
      </c>
      <c r="C16" s="137">
        <f>(MAX('Toma datos'!B50,'Toma datos'!D50,'Toma datos'!F50)-MIN('Toma datos'!B50,'Toma datos'!D50,'Toma datos'!F50))/B16*100</f>
        <v>0.022067753998503848</v>
      </c>
      <c r="D16" s="190">
        <f>('Toma datos'!B50+'Toma datos'!C50)/2</f>
        <v>0.6117405</v>
      </c>
      <c r="E16" s="192">
        <f>ABS('Toma datos'!C50-'Toma datos'!B50)/D16*100</f>
        <v>0.024029796948217132</v>
      </c>
      <c r="F16" s="13">
        <f>(B16-Auxiliar!C7)/Auxiliar!C7*100</f>
        <v>4926.047754059314</v>
      </c>
      <c r="G16" s="192">
        <f>ABS(('Toma datos'!E50-'Toma datos'!D50)/'Toma datos'!D50)*100/2+ABS(('Toma datos'!G50-'Toma datos'!F50)/'Toma datos'!F50)*100/2</f>
        <v>0.014957452189898947</v>
      </c>
      <c r="H16" s="14"/>
      <c r="I16" s="14"/>
      <c r="J16" s="41"/>
      <c r="K16" s="41"/>
      <c r="L16" s="41"/>
      <c r="M16" s="41"/>
      <c r="N16" s="41"/>
      <c r="O16" s="41"/>
      <c r="P16" s="41"/>
      <c r="Q16" s="41"/>
      <c r="R16" s="41"/>
    </row>
    <row r="17" spans="1:18" ht="12.75">
      <c r="A17" s="124">
        <f>(A23*40)/100</f>
        <v>8</v>
      </c>
      <c r="B17" s="190">
        <f>('Toma datos'!B51+'Toma datos'!D51+'Toma datos'!F51)/3</f>
        <v>0.8156633333333333</v>
      </c>
      <c r="C17" s="137">
        <f>(MAX('Toma datos'!B51,'Toma datos'!D51,'Toma datos'!F51)-MIN('Toma datos'!B51,'Toma datos'!D51,'Toma datos'!F51))/B17*100</f>
        <v>0.013240757011661589</v>
      </c>
      <c r="D17" s="190">
        <f>('Toma datos'!B51+'Toma datos'!C51)/2</f>
        <v>0.8155985</v>
      </c>
      <c r="E17" s="192">
        <f>ABS('Toma datos'!C51-'Toma datos'!B51)/D17*100</f>
        <v>0.001348702823752526</v>
      </c>
      <c r="F17" s="13">
        <f>(B17-Auxiliar!C8)/Auxiliar!C8*100</f>
        <v>4919.727469066712</v>
      </c>
      <c r="G17" s="192">
        <f>ABS(('Toma datos'!E51-'Toma datos'!D51)/'Toma datos'!D51)*100/2+ABS(('Toma datos'!G51-'Toma datos'!F51)/'Toma datos'!F51)*100/2</f>
        <v>0.007968643341359187</v>
      </c>
      <c r="H17" s="14"/>
      <c r="I17" s="14"/>
      <c r="J17" s="41"/>
      <c r="K17" s="41"/>
      <c r="L17" s="41"/>
      <c r="M17" s="41"/>
      <c r="N17" s="41"/>
      <c r="O17" s="41"/>
      <c r="P17" s="41"/>
      <c r="Q17" s="41"/>
      <c r="R17" s="41"/>
    </row>
    <row r="18" spans="1:18" ht="12.75">
      <c r="A18" s="124">
        <f>(A23*50)/100</f>
        <v>10</v>
      </c>
      <c r="B18" s="190">
        <f>('Toma datos'!B52+'Toma datos'!D52+'Toma datos'!F52)/3</f>
        <v>1.0193753333333335</v>
      </c>
      <c r="C18" s="137">
        <f>(MAX('Toma datos'!B52,'Toma datos'!D52,'Toma datos'!F52)-MIN('Toma datos'!B52,'Toma datos'!D52,'Toma datos'!F52))/B18*100</f>
        <v>0.09348862669493051</v>
      </c>
      <c r="D18" s="190">
        <f>('Toma datos'!B52+'Toma datos'!C52)/2</f>
        <v>1.019165</v>
      </c>
      <c r="E18" s="192">
        <f>ABS('Toma datos'!C52-'Toma datos'!B52)/D18*100</f>
        <v>0.07712195768103823</v>
      </c>
      <c r="F18" s="13">
        <f>(B18-Auxiliar!C9)/Auxiliar!C9*100</f>
        <v>4914.960494602161</v>
      </c>
      <c r="G18" s="192">
        <f>ABS(('Toma datos'!E52-'Toma datos'!D52)/'Toma datos'!D52)*100/2+ABS(('Toma datos'!G52-'Toma datos'!F52)/'Toma datos'!F52)*100/2</f>
        <v>0.009071793262660622</v>
      </c>
      <c r="H18" s="14"/>
      <c r="I18" s="14"/>
      <c r="J18" s="41"/>
      <c r="K18" s="41"/>
      <c r="L18" s="41"/>
      <c r="M18" s="41"/>
      <c r="N18" s="41"/>
      <c r="O18" s="41"/>
      <c r="P18" s="41"/>
      <c r="Q18" s="41"/>
      <c r="R18" s="41"/>
    </row>
    <row r="19" spans="1:18" ht="12.75">
      <c r="A19" s="124">
        <f>(A23*60)/100</f>
        <v>12</v>
      </c>
      <c r="B19" s="190">
        <f>('Toma datos'!B53+'Toma datos'!D53+'Toma datos'!F53)/3</f>
        <v>1.223643</v>
      </c>
      <c r="C19" s="137">
        <f>(MAX('Toma datos'!B53,'Toma datos'!D53,'Toma datos'!F53)-MIN('Toma datos'!B53,'Toma datos'!D53,'Toma datos'!F53))/B19*100</f>
        <v>0.004821667757673704</v>
      </c>
      <c r="D19" s="190">
        <f>('Toma datos'!B53+'Toma datos'!C53)/2</f>
        <v>1.2236175</v>
      </c>
      <c r="E19" s="192">
        <f>ABS('Toma datos'!C53-'Toma datos'!B53)/D19*100</f>
        <v>0.0004086244271623082</v>
      </c>
      <c r="F19" s="13">
        <f>(B19-Auxiliar!C10)/Auxiliar!C10*100</f>
        <v>4914.060608686114</v>
      </c>
      <c r="G19" s="192">
        <f>ABS(('Toma datos'!E53-'Toma datos'!D53)/'Toma datos'!D53)*100/2+ABS(('Toma datos'!G53-'Toma datos'!F53)/'Toma datos'!F53)*100/2</f>
        <v>0.012585223989939838</v>
      </c>
      <c r="H19" s="14"/>
      <c r="I19" s="14"/>
      <c r="J19" s="41"/>
      <c r="K19" s="41"/>
      <c r="L19" s="41"/>
      <c r="M19" s="41"/>
      <c r="N19" s="41"/>
      <c r="O19" s="41"/>
      <c r="P19" s="41"/>
      <c r="Q19" s="41"/>
      <c r="R19" s="41"/>
    </row>
    <row r="20" spans="1:18" ht="12.75">
      <c r="A20" s="124">
        <f>(A23*70)/100</f>
        <v>14</v>
      </c>
      <c r="B20" s="190">
        <f>('Toma datos'!B54+'Toma datos'!D54+'Toma datos'!F54)/3</f>
        <v>1.4277203333333335</v>
      </c>
      <c r="C20" s="137">
        <f>(MAX('Toma datos'!B54,'Toma datos'!D54,'Toma datos'!F54)-MIN('Toma datos'!B54,'Toma datos'!D54,'Toma datos'!F54))/B20*100</f>
        <v>0.0108564679217144</v>
      </c>
      <c r="D20" s="190">
        <f>('Toma datos'!B54+'Toma datos'!C54)/2</f>
        <v>1.427684</v>
      </c>
      <c r="E20" s="192">
        <f>ABS('Toma datos'!C54-'Toma datos'!B54)/D20*100</f>
        <v>0.004622871727910341</v>
      </c>
      <c r="F20" s="13">
        <f>(B20-Auxiliar!C11)/Auxiliar!C11*100</f>
        <v>4912.7477253207735</v>
      </c>
      <c r="G20" s="192">
        <f>ABS(('Toma datos'!E54-'Toma datos'!D54)/'Toma datos'!D54)*100/2+ABS(('Toma datos'!G54-'Toma datos'!F54)/'Toma datos'!F54)*100/2</f>
        <v>0.00850994470819488</v>
      </c>
      <c r="H20" s="14"/>
      <c r="I20" s="14"/>
      <c r="J20" s="41"/>
      <c r="K20" s="41"/>
      <c r="L20" s="41"/>
      <c r="M20" s="41"/>
      <c r="N20" s="41"/>
      <c r="O20" s="41"/>
      <c r="P20" s="41"/>
      <c r="Q20" s="41"/>
      <c r="R20" s="41"/>
    </row>
    <row r="21" spans="1:18" ht="12.75">
      <c r="A21" s="124">
        <f>(A23*80)/100</f>
        <v>16</v>
      </c>
      <c r="B21" s="190">
        <f>('Toma datos'!B55+'Toma datos'!D55+'Toma datos'!F55)/3</f>
        <v>1.6317776666666666</v>
      </c>
      <c r="C21" s="137">
        <f>(MAX('Toma datos'!B55,'Toma datos'!D55,'Toma datos'!F55)-MIN('Toma datos'!B55,'Toma datos'!D55,'Toma datos'!F55))/B21*100</f>
        <v>0.00790548875839097</v>
      </c>
      <c r="D21" s="190">
        <f>('Toma datos'!B55+'Toma datos'!C55)/2</f>
        <v>1.631749</v>
      </c>
      <c r="E21" s="192">
        <f>ABS('Toma datos'!C55-'Toma datos'!B55)/D21*100</f>
        <v>0.0025739252789551284</v>
      </c>
      <c r="F21" s="13">
        <f>(B21-Auxiliar!C12)/Auxiliar!C12*100</f>
        <v>4911.700161916779</v>
      </c>
      <c r="G21" s="192">
        <f>ABS(('Toma datos'!E55-'Toma datos'!D55)/'Toma datos'!D55)*100/2+ABS(('Toma datos'!G55-'Toma datos'!F55)/'Toma datos'!F55)*100/2</f>
        <v>0.006587922689390878</v>
      </c>
      <c r="H21" s="14"/>
      <c r="I21" s="14"/>
      <c r="J21" s="41"/>
      <c r="K21" s="41"/>
      <c r="L21" s="41"/>
      <c r="M21" s="41"/>
      <c r="N21" s="41"/>
      <c r="O21" s="41"/>
      <c r="P21" s="41"/>
      <c r="Q21" s="41"/>
      <c r="R21" s="41"/>
    </row>
    <row r="22" spans="1:18" ht="12.75">
      <c r="A22" s="124">
        <f>(A23*90)/100</f>
        <v>18</v>
      </c>
      <c r="B22" s="190">
        <f>('Toma datos'!B56+'Toma datos'!D56+'Toma datos'!F56)/3</f>
        <v>1.8357906666666668</v>
      </c>
      <c r="C22" s="137">
        <f>(MAX('Toma datos'!B56,'Toma datos'!D56,'Toma datos'!F56)-MIN('Toma datos'!B56,'Toma datos'!D56,'Toma datos'!F56))/B22*100</f>
        <v>0.0068090552081910985</v>
      </c>
      <c r="D22" s="190">
        <f>('Toma datos'!B56+'Toma datos'!C56)/2</f>
        <v>1.835716</v>
      </c>
      <c r="E22" s="192">
        <f>ABS('Toma datos'!C56-'Toma datos'!B56)/D22*100</f>
        <v>0.001198442460596655</v>
      </c>
      <c r="F22" s="13">
        <f>(B22-Auxiliar!C13)/Auxiliar!C13*100</f>
        <v>4910.762918052474</v>
      </c>
      <c r="G22" s="192">
        <f>ABS(('Toma datos'!E56-'Toma datos'!D56)/'Toma datos'!D56)*100/2+ABS(('Toma datos'!G56-'Toma datos'!F56)/'Toma datos'!F56)*100/2</f>
        <v>0.007762229917036888</v>
      </c>
      <c r="H22" s="14"/>
      <c r="I22" s="14"/>
      <c r="J22" s="41"/>
      <c r="K22" s="41"/>
      <c r="L22" s="41"/>
      <c r="M22" s="41"/>
      <c r="N22" s="41"/>
      <c r="O22" s="41"/>
      <c r="P22" s="41"/>
      <c r="Q22" s="41"/>
      <c r="R22" s="41"/>
    </row>
    <row r="23" spans="1:18" ht="12.75">
      <c r="A23" s="124">
        <f>CargaMaximaTransCal</f>
        <v>20</v>
      </c>
      <c r="B23" s="190">
        <f>('Toma datos'!B57+'Toma datos'!D57+'Toma datos'!F57)/3</f>
        <v>2.0398373333333333</v>
      </c>
      <c r="C23" s="137">
        <f>(MAX('Toma datos'!B57,'Toma datos'!D57,'Toma datos'!F57)-MIN('Toma datos'!B57,'Toma datos'!D57,'Toma datos'!F57))/B23*100</f>
        <v>0.009804703381575752</v>
      </c>
      <c r="D23" s="190">
        <f>('Toma datos'!B57+'Toma datos'!C57)/2</f>
        <v>2.0397835</v>
      </c>
      <c r="E23" s="192">
        <f>ABS('Toma datos'!C57-'Toma datos'!B57)/D23*100</f>
        <v>0.0058339524758268795</v>
      </c>
      <c r="F23" s="13">
        <f>(B23-Auxiliar!C14)/Auxiliar!C14*100</f>
        <v>4910.094429917637</v>
      </c>
      <c r="G23" s="192"/>
      <c r="H23" s="14"/>
      <c r="I23" s="14"/>
      <c r="J23" s="41"/>
      <c r="K23" s="41"/>
      <c r="L23" s="41"/>
      <c r="M23" s="41"/>
      <c r="N23" s="41"/>
      <c r="O23" s="41"/>
      <c r="P23" s="41"/>
      <c r="Q23" s="41"/>
      <c r="R23" s="41"/>
    </row>
    <row r="24" spans="1:18" ht="12.75">
      <c r="A24" s="14"/>
      <c r="B24" s="14"/>
      <c r="C24" s="14"/>
      <c r="D24" s="14"/>
      <c r="E24" s="14"/>
      <c r="F24" s="14"/>
      <c r="G24" s="14"/>
      <c r="H24" s="14"/>
      <c r="I24" s="14"/>
      <c r="J24" s="41"/>
      <c r="K24" s="41"/>
      <c r="L24" s="41"/>
      <c r="M24" s="41"/>
      <c r="N24" s="41"/>
      <c r="O24" s="41"/>
      <c r="P24" s="41"/>
      <c r="Q24" s="41"/>
      <c r="R24" s="41"/>
    </row>
    <row r="25" spans="1:18" ht="12.75">
      <c r="A25" s="22" t="s">
        <v>34</v>
      </c>
      <c r="B25" s="14"/>
      <c r="C25" s="14"/>
      <c r="D25" s="14"/>
      <c r="E25" s="14"/>
      <c r="F25" s="14"/>
      <c r="G25" s="14"/>
      <c r="H25" s="14"/>
      <c r="I25" s="14"/>
      <c r="J25" s="41"/>
      <c r="K25" s="41"/>
      <c r="L25" s="41"/>
      <c r="M25" s="41"/>
      <c r="N25" s="41"/>
      <c r="O25" s="41"/>
      <c r="P25" s="41"/>
      <c r="Q25" s="41"/>
      <c r="R25" s="41"/>
    </row>
    <row r="26" spans="1:18" ht="12.75">
      <c r="A26" s="14" t="s">
        <v>35</v>
      </c>
      <c r="B26" s="14"/>
      <c r="C26" s="14"/>
      <c r="D26" s="14"/>
      <c r="E26" s="14"/>
      <c r="F26" s="14"/>
      <c r="G26" s="14"/>
      <c r="H26" s="14"/>
      <c r="I26" s="14"/>
      <c r="J26" s="41"/>
      <c r="K26" s="41"/>
      <c r="L26" s="41"/>
      <c r="M26" s="41"/>
      <c r="N26" s="41"/>
      <c r="O26" s="41"/>
      <c r="P26" s="41"/>
      <c r="Q26" s="41"/>
      <c r="R26" s="41"/>
    </row>
    <row r="27" spans="1:18" ht="13.5" thickBot="1">
      <c r="A27" s="14" t="s">
        <v>36</v>
      </c>
      <c r="B27" s="14"/>
      <c r="C27" s="14"/>
      <c r="D27" s="14"/>
      <c r="E27" s="14"/>
      <c r="F27" s="14"/>
      <c r="G27" s="14"/>
      <c r="H27" s="14"/>
      <c r="I27" s="14"/>
      <c r="J27" s="41"/>
      <c r="K27" s="41"/>
      <c r="L27" s="41"/>
      <c r="M27" s="41"/>
      <c r="N27" s="41"/>
      <c r="O27" s="41"/>
      <c r="P27" s="41"/>
      <c r="Q27" s="41"/>
      <c r="R27" s="41"/>
    </row>
    <row r="28" spans="1:18" ht="15" thickTop="1">
      <c r="A28" s="14" t="s">
        <v>37</v>
      </c>
      <c r="B28" s="14"/>
      <c r="C28" s="14"/>
      <c r="D28" s="131" t="s">
        <v>41</v>
      </c>
      <c r="E28" s="132">
        <v>-6.08333333E-05</v>
      </c>
      <c r="F28" s="14"/>
      <c r="G28" s="14"/>
      <c r="H28" s="14"/>
      <c r="I28" s="14"/>
      <c r="J28" s="41"/>
      <c r="K28" s="41"/>
      <c r="L28" s="41"/>
      <c r="M28" s="41"/>
      <c r="N28" s="41"/>
      <c r="O28" s="41"/>
      <c r="P28" s="41"/>
      <c r="Q28" s="41"/>
      <c r="R28" s="41"/>
    </row>
    <row r="29" spans="1:18" ht="12.75">
      <c r="A29" s="14" t="s">
        <v>38</v>
      </c>
      <c r="B29" s="14"/>
      <c r="C29" s="14"/>
      <c r="D29" s="133" t="s">
        <v>42</v>
      </c>
      <c r="E29" s="134">
        <v>0.0020387349</v>
      </c>
      <c r="F29" s="14"/>
      <c r="G29" s="14"/>
      <c r="H29" s="14"/>
      <c r="I29" s="14"/>
      <c r="J29" s="41"/>
      <c r="K29" s="41"/>
      <c r="L29" s="41"/>
      <c r="M29" s="41"/>
      <c r="N29" s="41"/>
      <c r="O29" s="41"/>
      <c r="P29" s="41"/>
      <c r="Q29" s="41"/>
      <c r="R29" s="41"/>
    </row>
    <row r="30" spans="1:18" ht="12.75">
      <c r="A30" s="14" t="s">
        <v>39</v>
      </c>
      <c r="B30" s="14"/>
      <c r="C30" s="14"/>
      <c r="D30" s="133" t="s">
        <v>43</v>
      </c>
      <c r="E30" s="134">
        <v>1.72090132E-09</v>
      </c>
      <c r="F30" s="14"/>
      <c r="G30" s="14"/>
      <c r="H30" s="14"/>
      <c r="I30" s="14"/>
      <c r="J30" s="41"/>
      <c r="K30" s="41"/>
      <c r="L30" s="41"/>
      <c r="M30" s="41"/>
      <c r="N30" s="41"/>
      <c r="O30" s="41"/>
      <c r="P30" s="41"/>
      <c r="Q30" s="41"/>
      <c r="R30" s="41"/>
    </row>
    <row r="31" spans="1:18" ht="13.5" thickBot="1">
      <c r="A31" s="14" t="s">
        <v>40</v>
      </c>
      <c r="B31" s="14"/>
      <c r="C31" s="14"/>
      <c r="D31" s="135" t="s">
        <v>44</v>
      </c>
      <c r="E31" s="136">
        <v>-5.49015799E-13</v>
      </c>
      <c r="F31" s="14"/>
      <c r="G31" s="14"/>
      <c r="H31" s="14"/>
      <c r="I31" s="14"/>
      <c r="J31" s="41"/>
      <c r="K31" s="41"/>
      <c r="L31" s="41"/>
      <c r="M31" s="41"/>
      <c r="N31" s="41"/>
      <c r="O31" s="41"/>
      <c r="P31" s="41"/>
      <c r="Q31" s="41"/>
      <c r="R31" s="41"/>
    </row>
    <row r="32" spans="1:18" ht="13.5" thickTop="1">
      <c r="A32" s="14"/>
      <c r="B32" s="14"/>
      <c r="C32" s="14"/>
      <c r="D32" s="14"/>
      <c r="E32" s="14"/>
      <c r="F32" s="14"/>
      <c r="G32" s="14"/>
      <c r="H32" s="14"/>
      <c r="I32" s="14"/>
      <c r="J32" s="41"/>
      <c r="K32" s="41"/>
      <c r="L32" s="41"/>
      <c r="M32" s="41"/>
      <c r="N32" s="41"/>
      <c r="O32" s="41"/>
      <c r="P32" s="41"/>
      <c r="Q32" s="41"/>
      <c r="R32" s="41"/>
    </row>
    <row r="33" spans="1:18" ht="12.75">
      <c r="A33" s="14"/>
      <c r="B33" s="14"/>
      <c r="C33" s="14"/>
      <c r="D33" s="14"/>
      <c r="E33" s="14"/>
      <c r="F33" s="14"/>
      <c r="G33" s="14"/>
      <c r="H33" s="14"/>
      <c r="I33" s="14"/>
      <c r="J33" s="41"/>
      <c r="K33" s="41"/>
      <c r="L33" s="41"/>
      <c r="M33" s="41"/>
      <c r="N33" s="41"/>
      <c r="O33" s="41"/>
      <c r="P33" s="41"/>
      <c r="Q33" s="41"/>
      <c r="R33" s="41"/>
    </row>
    <row r="34" spans="1:18" ht="12.75">
      <c r="A34" s="14"/>
      <c r="B34" s="14"/>
      <c r="C34" s="14"/>
      <c r="D34" s="14"/>
      <c r="E34" s="14"/>
      <c r="F34" s="14"/>
      <c r="G34" s="14"/>
      <c r="H34" s="14"/>
      <c r="I34" s="14"/>
      <c r="J34" s="41"/>
      <c r="K34" s="41"/>
      <c r="L34" s="41"/>
      <c r="M34" s="41"/>
      <c r="N34" s="41"/>
      <c r="O34" s="41"/>
      <c r="P34" s="41"/>
      <c r="Q34" s="41"/>
      <c r="R34" s="41"/>
    </row>
    <row r="35" spans="1:18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</row>
    <row r="36" spans="1:18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</row>
    <row r="37" spans="1:18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</row>
    <row r="38" spans="1:18" ht="12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</row>
    <row r="39" spans="1:18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</row>
    <row r="40" spans="1:18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</row>
    <row r="41" spans="1:18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</row>
    <row r="42" spans="1:18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</row>
    <row r="43" spans="1:18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</row>
    <row r="44" spans="1:18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</row>
    <row r="45" spans="1:18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</row>
    <row r="46" spans="1:18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</row>
    <row r="47" spans="1:18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</row>
    <row r="48" spans="1:18" ht="12.7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</row>
    <row r="49" spans="1:18" ht="12.7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</row>
    <row r="50" spans="1:18" ht="12.7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</row>
    <row r="51" spans="1:18" ht="12.7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</row>
    <row r="52" spans="1:18" ht="12.7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</row>
    <row r="53" spans="1:18" ht="12.7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</row>
    <row r="54" spans="1:18" ht="12.7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</row>
    <row r="55" spans="1:18" ht="12.7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</row>
    <row r="56" spans="1:18" ht="12.7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</row>
    <row r="57" spans="1:18" ht="12.7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</row>
    <row r="58" spans="1:18" ht="12.7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</row>
    <row r="59" spans="1:18" ht="12.7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</row>
    <row r="60" spans="1:18" ht="12.7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</row>
    <row r="61" spans="1:18" ht="12.7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</row>
    <row r="62" spans="1:18" ht="12.7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</row>
    <row r="63" spans="1:18" ht="12.7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</row>
    <row r="64" spans="1:18" ht="12.7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</row>
    <row r="65" spans="1:18" ht="12.7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</row>
    <row r="66" spans="1:18" ht="12.7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</row>
  </sheetData>
  <sheetProtection sheet="1" objects="1" scenarios="1"/>
  <printOptions/>
  <pageMargins left="0.75" right="0.75" top="1" bottom="1" header="0" footer="0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47"/>
  <sheetViews>
    <sheetView workbookViewId="0" topLeftCell="A1">
      <selection activeCell="G13" sqref="G13"/>
    </sheetView>
  </sheetViews>
  <sheetFormatPr defaultColWidth="11.421875" defaultRowHeight="12.75"/>
  <cols>
    <col min="2" max="2" width="11.28125" style="0" customWidth="1"/>
    <col min="3" max="4" width="9.421875" style="0" customWidth="1"/>
    <col min="5" max="6" width="7.8515625" style="0" customWidth="1"/>
    <col min="7" max="7" width="8.7109375" style="0" customWidth="1"/>
    <col min="8" max="8" width="11.28125" style="0" customWidth="1"/>
    <col min="9" max="9" width="16.28125" style="0" customWidth="1"/>
    <col min="10" max="10" width="15.7109375" style="0" customWidth="1"/>
  </cols>
  <sheetData>
    <row r="1" spans="1:22" ht="12.75">
      <c r="A1" s="22" t="s">
        <v>47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ht="12.75">
      <c r="A2" s="14" t="s">
        <v>48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</row>
    <row r="3" spans="1:22" ht="12.75">
      <c r="A3" s="14" t="s">
        <v>50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</row>
    <row r="4" spans="1:22" ht="15.75">
      <c r="A4" s="14" t="s">
        <v>49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</row>
    <row r="5" spans="1:22" ht="12.75">
      <c r="A5" s="14" t="s">
        <v>51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</row>
    <row r="6" spans="1:22" ht="12.75">
      <c r="A6" s="14" t="s">
        <v>52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</row>
    <row r="7" spans="1:22" ht="13.5" thickBot="1">
      <c r="A7" s="14" t="s">
        <v>53</v>
      </c>
      <c r="B7" s="14"/>
      <c r="C7" s="14"/>
      <c r="D7" s="14"/>
      <c r="E7" s="14"/>
      <c r="F7" s="14"/>
      <c r="G7" s="14"/>
      <c r="H7" s="14"/>
      <c r="I7" s="14"/>
      <c r="J7" s="14"/>
      <c r="K7" s="14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</row>
    <row r="8" spans="1:22" ht="13.5" customHeight="1" thickBot="1">
      <c r="A8" s="14"/>
      <c r="B8" s="248" t="s">
        <v>62</v>
      </c>
      <c r="C8" s="249"/>
      <c r="D8" s="249"/>
      <c r="E8" s="249"/>
      <c r="F8" s="249"/>
      <c r="G8" s="249"/>
      <c r="H8" s="250"/>
      <c r="I8" s="14"/>
      <c r="J8" s="14"/>
      <c r="K8" s="14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</row>
    <row r="9" spans="2:22" ht="0.75" customHeight="1" hidden="1" thickBot="1">
      <c r="B9" s="7"/>
      <c r="C9" s="6"/>
      <c r="D9" s="6"/>
      <c r="K9" s="14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</row>
    <row r="10" spans="11:22" ht="8.25" customHeight="1" hidden="1" thickBot="1">
      <c r="K10" s="14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</row>
    <row r="11" spans="1:22" ht="25.5" customHeight="1">
      <c r="A11" s="149" t="s">
        <v>10</v>
      </c>
      <c r="B11" s="253" t="s">
        <v>55</v>
      </c>
      <c r="C11" s="253" t="s">
        <v>54</v>
      </c>
      <c r="D11" s="253" t="s">
        <v>56</v>
      </c>
      <c r="E11" s="253" t="s">
        <v>57</v>
      </c>
      <c r="F11" s="253" t="s">
        <v>58</v>
      </c>
      <c r="G11" s="253" t="s">
        <v>59</v>
      </c>
      <c r="H11" s="253" t="s">
        <v>60</v>
      </c>
      <c r="I11" s="246" t="s">
        <v>61</v>
      </c>
      <c r="J11" s="251" t="s">
        <v>73</v>
      </c>
      <c r="K11" s="14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</row>
    <row r="12" spans="1:22" ht="24" customHeight="1" thickBot="1">
      <c r="A12" s="150" t="str">
        <f>UniCargaMaximaTransCal</f>
        <v>KN</v>
      </c>
      <c r="B12" s="254"/>
      <c r="C12" s="254"/>
      <c r="D12" s="254"/>
      <c r="E12" s="254"/>
      <c r="F12" s="254"/>
      <c r="G12" s="254"/>
      <c r="H12" s="254"/>
      <c r="I12" s="247"/>
      <c r="J12" s="252"/>
      <c r="K12" s="14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</row>
    <row r="13" spans="1:22" ht="12.75">
      <c r="A13" s="152">
        <f>(A22*10)/100</f>
        <v>2</v>
      </c>
      <c r="B13" s="151">
        <v>0.0025</v>
      </c>
      <c r="C13" s="153">
        <f>'Resultados 1'!E14/SQRT(12)</f>
        <v>0.0016998972510627514</v>
      </c>
      <c r="D13" s="153">
        <f>'Resultados 1'!C14/SQRT(8)</f>
        <v>0.012835987196810492</v>
      </c>
      <c r="E13" s="154">
        <f>MAX('Resultados 1'!$D$5:'Resultados 1'!$G$5)/SQRT(12)</f>
        <v>0.0006227168931763202</v>
      </c>
      <c r="F13" s="153">
        <f>'Resultados 1'!G14/SQRT(12)</f>
        <v>0.005876944768592913</v>
      </c>
      <c r="G13" s="153">
        <f>'Resultados 1'!F14/SQRT(24)</f>
        <v>1015.4177630361671</v>
      </c>
      <c r="H13" s="153">
        <f>$D$25/(A13*SQRT(12))*100</f>
        <v>0.00014151870341694544</v>
      </c>
      <c r="I13" s="153">
        <f>SQRT(SUMSQ(B13:H13))</f>
        <v>1015.4177631390058</v>
      </c>
      <c r="J13" s="155">
        <f>I13*2</f>
        <v>2030.8355262780117</v>
      </c>
      <c r="K13" s="14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</row>
    <row r="14" spans="1:22" ht="12.75">
      <c r="A14" s="152">
        <f>(A22*20)/100</f>
        <v>4</v>
      </c>
      <c r="B14" s="137">
        <v>0.0025</v>
      </c>
      <c r="C14" s="153">
        <f>'Resultados 1'!E15/SQRT(12)</f>
        <v>0.0036820085454880355</v>
      </c>
      <c r="D14" s="153">
        <f>'Resultados 1'!C15/SQRT(8)</f>
        <v>0.002601361770819316</v>
      </c>
      <c r="E14" s="154">
        <f>MAX('Resultados 1'!$D$5:'Resultados 1'!$G$5)/SQRT(12)</f>
        <v>0.0006227168931763202</v>
      </c>
      <c r="F14" s="153">
        <f>'Resultados 1'!G15/SQRT(12)</f>
        <v>0.0026549396667161413</v>
      </c>
      <c r="G14" s="153">
        <f>'Resultados 1'!F15/SQRT(24)</f>
        <v>1007.8394586573372</v>
      </c>
      <c r="H14" s="153">
        <f aca="true" t="shared" si="0" ref="H14:H22">$D$25/(A14*SQRT(12))*100</f>
        <v>7.075935170847272E-05</v>
      </c>
      <c r="I14" s="153">
        <f aca="true" t="shared" si="1" ref="I14:I22">SQRT(SUMSQ(B14:H14))</f>
        <v>1007.8394586742128</v>
      </c>
      <c r="J14" s="155">
        <f aca="true" t="shared" si="2" ref="J14:J22">I14*2</f>
        <v>2015.6789173484256</v>
      </c>
      <c r="K14" s="14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</row>
    <row r="15" spans="1:22" ht="12.75">
      <c r="A15" s="152">
        <f>(A22*30)/100</f>
        <v>6</v>
      </c>
      <c r="B15" s="137">
        <v>0.0025</v>
      </c>
      <c r="C15" s="153">
        <f>'Resultados 1'!E16/SQRT(12)</f>
        <v>0.0069368048683126045</v>
      </c>
      <c r="D15" s="153">
        <f>'Resultados 1'!C16/SQRT(8)</f>
        <v>0.00780212924894931</v>
      </c>
      <c r="E15" s="154">
        <f>MAX('Resultados 1'!$D$5:'Resultados 1'!$G$5)/SQRT(12)</f>
        <v>0.0006227168931763202</v>
      </c>
      <c r="F15" s="153">
        <f>'Resultados 1'!G16/SQRT(12)</f>
        <v>0.004317844524114558</v>
      </c>
      <c r="G15" s="153">
        <f>'Resultados 1'!F16/SQRT(24)</f>
        <v>1005.5252871690335</v>
      </c>
      <c r="H15" s="153">
        <f t="shared" si="0"/>
        <v>4.717290113898181E-05</v>
      </c>
      <c r="I15" s="153">
        <f t="shared" si="1"/>
        <v>1005.5252872358027</v>
      </c>
      <c r="J15" s="155">
        <f t="shared" si="2"/>
        <v>2011.0505744716054</v>
      </c>
      <c r="K15" s="14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</row>
    <row r="16" spans="1:22" ht="12.75">
      <c r="A16" s="152">
        <f>(A22*40)/100</f>
        <v>8</v>
      </c>
      <c r="B16" s="137">
        <v>0.0025</v>
      </c>
      <c r="C16" s="153">
        <f>'Resultados 1'!E17/SQRT(12)</f>
        <v>0.00038933696917516466</v>
      </c>
      <c r="D16" s="153">
        <f>'Resultados 1'!C17/SQRT(8)</f>
        <v>0.004681314535494618</v>
      </c>
      <c r="E16" s="154">
        <f>MAX('Resultados 1'!$D$5:'Resultados 1'!$G$5)/SQRT(12)</f>
        <v>0.0006227168931763202</v>
      </c>
      <c r="F16" s="153">
        <f>'Resultados 1'!G17/SQRT(12)</f>
        <v>0.002300349189104923</v>
      </c>
      <c r="G16" s="153">
        <f>'Resultados 1'!F17/SQRT(24)</f>
        <v>1004.2351643972964</v>
      </c>
      <c r="H16" s="153">
        <f t="shared" si="0"/>
        <v>3.537967585423636E-05</v>
      </c>
      <c r="I16" s="153">
        <f t="shared" si="1"/>
        <v>1004.2351644142233</v>
      </c>
      <c r="J16" s="155">
        <f t="shared" si="2"/>
        <v>2008.4703288284466</v>
      </c>
      <c r="K16" s="14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22" ht="12.75">
      <c r="A17" s="152">
        <f>(A22*50)/100</f>
        <v>10</v>
      </c>
      <c r="B17" s="137">
        <v>0.0025</v>
      </c>
      <c r="C17" s="153">
        <f>'Resultados 1'!E18/SQRT(12)</f>
        <v>0.022263191513789176</v>
      </c>
      <c r="D17" s="153">
        <f>'Resultados 1'!C18/SQRT(8)</f>
        <v>0.03305322094990153</v>
      </c>
      <c r="E17" s="154">
        <f>MAX('Resultados 1'!$D$5:'Resultados 1'!$G$5)/SQRT(12)</f>
        <v>0.0006227168931763202</v>
      </c>
      <c r="F17" s="153">
        <f>'Resultados 1'!G18/SQRT(12)</f>
        <v>0.002618801141114872</v>
      </c>
      <c r="G17" s="153">
        <f>'Resultados 1'!F18/SQRT(24)</f>
        <v>1003.2621098093775</v>
      </c>
      <c r="H17" s="153">
        <f t="shared" si="0"/>
        <v>2.830374068338909E-05</v>
      </c>
      <c r="I17" s="153">
        <f t="shared" si="1"/>
        <v>1003.2621106076045</v>
      </c>
      <c r="J17" s="155">
        <f t="shared" si="2"/>
        <v>2006.524221215209</v>
      </c>
      <c r="K17" s="14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</row>
    <row r="18" spans="1:22" ht="12.75">
      <c r="A18" s="152">
        <f>(A22*60)/100</f>
        <v>12</v>
      </c>
      <c r="B18" s="137">
        <v>0.0025</v>
      </c>
      <c r="C18" s="153">
        <f>'Resultados 1'!E19/SQRT(12)</f>
        <v>0.00011795971150980764</v>
      </c>
      <c r="D18" s="153">
        <f>'Resultados 1'!C19/SQRT(8)</f>
        <v>0.0017047169840398054</v>
      </c>
      <c r="E18" s="154">
        <f>MAX('Resultados 1'!$D$5:'Resultados 1'!$G$5)/SQRT(12)</f>
        <v>0.0006227168931763202</v>
      </c>
      <c r="F18" s="153">
        <f>'Resultados 1'!G19/SQRT(12)</f>
        <v>0.003633041229201751</v>
      </c>
      <c r="G18" s="153">
        <f>'Resultados 1'!F19/SQRT(24)</f>
        <v>1003.0784213659582</v>
      </c>
      <c r="H18" s="153">
        <f t="shared" si="0"/>
        <v>2.3586450569490905E-05</v>
      </c>
      <c r="I18" s="153">
        <f t="shared" si="1"/>
        <v>1003.078421377302</v>
      </c>
      <c r="J18" s="155">
        <f t="shared" si="2"/>
        <v>2006.156842754604</v>
      </c>
      <c r="K18" s="14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</row>
    <row r="19" spans="1:22" ht="12.75">
      <c r="A19" s="152">
        <f>(A22*70)/100</f>
        <v>14</v>
      </c>
      <c r="B19" s="137">
        <v>0.0025</v>
      </c>
      <c r="C19" s="153">
        <f>'Resultados 1'!E20/SQRT(12)</f>
        <v>0.001334508118269073</v>
      </c>
      <c r="D19" s="153">
        <f>'Resultados 1'!C20/SQRT(8)</f>
        <v>0.0038383410435892384</v>
      </c>
      <c r="E19" s="154">
        <f>MAX('Resultados 1'!$D$5:'Resultados 1'!$G$5)/SQRT(12)</f>
        <v>0.0006227168931763202</v>
      </c>
      <c r="F19" s="153">
        <f>'Resultados 1'!G20/SQRT(12)</f>
        <v>0.0024566094340325727</v>
      </c>
      <c r="G19" s="153">
        <f>'Resultados 1'!F20/SQRT(24)</f>
        <v>1002.8104301712189</v>
      </c>
      <c r="H19" s="153">
        <f t="shared" si="0"/>
        <v>2.0216957630992205E-05</v>
      </c>
      <c r="I19" s="153">
        <f t="shared" si="1"/>
        <v>1002.8104301857715</v>
      </c>
      <c r="J19" s="155">
        <f t="shared" si="2"/>
        <v>2005.620860371543</v>
      </c>
      <c r="K19" s="14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</row>
    <row r="20" spans="1:22" ht="12.75">
      <c r="A20" s="152">
        <f>(A22*80)/100</f>
        <v>16</v>
      </c>
      <c r="B20" s="137">
        <v>0.0025</v>
      </c>
      <c r="C20" s="153">
        <f>'Resultados 1'!E21/SQRT(12)</f>
        <v>0.000743028226339363</v>
      </c>
      <c r="D20" s="153">
        <f>'Resultados 1'!C21/SQRT(8)</f>
        <v>0.002795012354826137</v>
      </c>
      <c r="E20" s="154">
        <f>MAX('Resultados 1'!$D$5:'Resultados 1'!$G$5)/SQRT(12)</f>
        <v>0.0006227168931763202</v>
      </c>
      <c r="F20" s="153">
        <f>'Resultados 1'!G21/SQRT(12)</f>
        <v>0.0019017694690601336</v>
      </c>
      <c r="G20" s="153">
        <f>'Resultados 1'!F21/SQRT(24)</f>
        <v>1002.5965971868021</v>
      </c>
      <c r="H20" s="153">
        <f t="shared" si="0"/>
        <v>1.768983792711818E-05</v>
      </c>
      <c r="I20" s="153">
        <f t="shared" si="1"/>
        <v>1002.5965971960875</v>
      </c>
      <c r="J20" s="155">
        <f t="shared" si="2"/>
        <v>2005.193194392175</v>
      </c>
      <c r="K20" s="14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</row>
    <row r="21" spans="1:22" ht="12.75">
      <c r="A21" s="152">
        <f>(A22*90)/100</f>
        <v>18</v>
      </c>
      <c r="B21" s="137">
        <v>0.0025</v>
      </c>
      <c r="C21" s="153">
        <f>'Resultados 1'!E22/SQRT(12)</f>
        <v>0.0003459605386168782</v>
      </c>
      <c r="D21" s="153">
        <f>'Resultados 1'!C22/SQRT(8)</f>
        <v>0.0024073645555927523</v>
      </c>
      <c r="E21" s="154">
        <f>MAX('Resultados 1'!$D$5:'Resultados 1'!$G$5)/SQRT(12)</f>
        <v>0.0006227168931763202</v>
      </c>
      <c r="F21" s="153">
        <f>'Resultados 1'!G22/SQRT(12)</f>
        <v>0.002240762766056507</v>
      </c>
      <c r="G21" s="153">
        <f>'Resultados 1'!F22/SQRT(24)</f>
        <v>1002.405283084127</v>
      </c>
      <c r="H21" s="153">
        <f t="shared" si="0"/>
        <v>1.5724300379660605E-05</v>
      </c>
      <c r="I21" s="153">
        <f t="shared" si="1"/>
        <v>1002.405283092893</v>
      </c>
      <c r="J21" s="155">
        <f t="shared" si="2"/>
        <v>2004.810566185786</v>
      </c>
      <c r="K21" s="14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</row>
    <row r="22" spans="1:22" ht="12.75">
      <c r="A22" s="152">
        <f>CargaMaximaTransCal</f>
        <v>20</v>
      </c>
      <c r="B22" s="137">
        <v>0.0025</v>
      </c>
      <c r="C22" s="153">
        <f>'Resultados 1'!E23/SQRT(12)</f>
        <v>0.0016841170161790665</v>
      </c>
      <c r="D22" s="153">
        <f>'Resultados 1'!C23/SQRT(8)</f>
        <v>0.0034664861243174435</v>
      </c>
      <c r="E22" s="154">
        <f>MAX('Resultados 1'!$D$5:'Resultados 1'!$G$5)/SQRT(12)</f>
        <v>0.0006227168931763202</v>
      </c>
      <c r="F22" s="153">
        <f>'Resultados 1'!G23/SQRT(12)</f>
        <v>0</v>
      </c>
      <c r="G22" s="153">
        <f>'Resultados 1'!F23/SQRT(24)</f>
        <v>1002.2688285150058</v>
      </c>
      <c r="H22" s="153">
        <f t="shared" si="0"/>
        <v>1.4151870341694545E-05</v>
      </c>
      <c r="I22" s="153">
        <f t="shared" si="1"/>
        <v>1002.2688285257268</v>
      </c>
      <c r="J22" s="155">
        <f t="shared" si="2"/>
        <v>2004.5376570514536</v>
      </c>
      <c r="K22" s="14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</row>
    <row r="23" spans="1:22" ht="12.75">
      <c r="A23" s="14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</row>
    <row r="24" spans="1:22" ht="12.75">
      <c r="A24" s="14"/>
      <c r="B24" s="14"/>
      <c r="C24" s="14" t="s">
        <v>63</v>
      </c>
      <c r="D24" s="13">
        <f>'Toma datos'!F30</f>
        <v>1E-06</v>
      </c>
      <c r="E24" s="14" t="s">
        <v>18</v>
      </c>
      <c r="F24" s="14"/>
      <c r="G24" s="14"/>
      <c r="H24" s="14"/>
      <c r="I24" s="14"/>
      <c r="J24" s="14"/>
      <c r="K24" s="14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</row>
    <row r="25" spans="1:22" ht="12.75">
      <c r="A25" s="14"/>
      <c r="B25" s="14"/>
      <c r="C25" s="14" t="s">
        <v>63</v>
      </c>
      <c r="D25" s="74">
        <f>D24*MAX(A13:A22)/MAX('Resultados 1'!B14:B23)</f>
        <v>9.804703381576831E-06</v>
      </c>
      <c r="E25" s="14" t="s">
        <v>97</v>
      </c>
      <c r="F25" s="14" t="s">
        <v>127</v>
      </c>
      <c r="G25" s="14"/>
      <c r="H25" s="14"/>
      <c r="I25" s="14"/>
      <c r="J25" s="14"/>
      <c r="K25" s="14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</row>
    <row r="26" spans="1:23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14"/>
    </row>
    <row r="27" spans="1:23" ht="12.75">
      <c r="A27" s="14"/>
      <c r="B27" s="15"/>
      <c r="C27" s="15"/>
      <c r="D27" s="15"/>
      <c r="E27" s="14"/>
      <c r="F27" s="14"/>
      <c r="G27" s="14"/>
      <c r="H27" s="14"/>
      <c r="I27" s="14"/>
      <c r="J27" s="14"/>
      <c r="K27" s="14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14"/>
    </row>
    <row r="28" spans="1:22" ht="12.75">
      <c r="A28" s="14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1:22" ht="12.75">
      <c r="A29" s="14"/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1:22" ht="12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</row>
    <row r="31" spans="1:22" ht="12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</row>
    <row r="32" spans="1:22" ht="12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</row>
    <row r="33" spans="1:22" ht="12.7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</row>
    <row r="34" spans="1:22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</row>
    <row r="35" spans="1:22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</row>
    <row r="36" spans="1:22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</row>
    <row r="37" spans="1:22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</row>
    <row r="38" spans="1:22" ht="12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</row>
    <row r="39" spans="1:22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</row>
    <row r="40" spans="1:22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</row>
    <row r="41" spans="1:22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</row>
    <row r="42" spans="1:22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</row>
    <row r="43" spans="1:22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</row>
    <row r="44" spans="1:22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</row>
    <row r="45" spans="1:22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</row>
    <row r="46" spans="1:22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</row>
    <row r="47" spans="1:22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</row>
  </sheetData>
  <mergeCells count="10">
    <mergeCell ref="I11:I12"/>
    <mergeCell ref="B8:H8"/>
    <mergeCell ref="J11:J12"/>
    <mergeCell ref="B11:B12"/>
    <mergeCell ref="C11:C12"/>
    <mergeCell ref="D11:D12"/>
    <mergeCell ref="E11:E12"/>
    <mergeCell ref="F11:F12"/>
    <mergeCell ref="G11:G12"/>
    <mergeCell ref="H11:H12"/>
  </mergeCells>
  <printOptions/>
  <pageMargins left="0.75" right="0.75" top="1" bottom="1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65"/>
  <sheetViews>
    <sheetView workbookViewId="0" topLeftCell="A1">
      <selection activeCell="E9" sqref="E9"/>
    </sheetView>
  </sheetViews>
  <sheetFormatPr defaultColWidth="11.421875" defaultRowHeight="12.75"/>
  <cols>
    <col min="2" max="2" width="11.7109375" style="0" customWidth="1"/>
  </cols>
  <sheetData>
    <row r="1" spans="1:25" ht="12.75">
      <c r="A1" s="14"/>
      <c r="B1" s="14"/>
      <c r="C1" s="14"/>
      <c r="D1" s="14"/>
      <c r="E1" s="14"/>
      <c r="F1" s="14"/>
      <c r="G1" s="14"/>
      <c r="H1" s="14"/>
      <c r="I1" s="14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</row>
    <row r="2" spans="1:26" ht="12.75">
      <c r="A2" s="14"/>
      <c r="B2" s="14"/>
      <c r="C2" s="14"/>
      <c r="D2" s="14"/>
      <c r="E2" s="14"/>
      <c r="F2" s="14"/>
      <c r="G2" s="14"/>
      <c r="H2" s="14"/>
      <c r="I2" s="14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</row>
    <row r="3" spans="1:26" ht="13.5" thickBot="1">
      <c r="A3" s="14"/>
      <c r="B3" s="259" t="s">
        <v>100</v>
      </c>
      <c r="C3" s="14"/>
      <c r="D3" s="14"/>
      <c r="E3" s="258" t="s">
        <v>81</v>
      </c>
      <c r="F3" s="258"/>
      <c r="G3" s="14"/>
      <c r="H3" s="14"/>
      <c r="I3" s="14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</row>
    <row r="4" spans="1:26" ht="13.5" thickBot="1">
      <c r="A4" s="14"/>
      <c r="B4" s="259"/>
      <c r="C4" s="255" t="s">
        <v>80</v>
      </c>
      <c r="D4" s="256"/>
      <c r="E4" s="256"/>
      <c r="F4" s="256"/>
      <c r="G4" s="256"/>
      <c r="H4" s="257"/>
      <c r="I4" s="14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</row>
    <row r="5" spans="1:26" ht="15">
      <c r="A5" s="14"/>
      <c r="B5" s="14"/>
      <c r="C5" s="11" t="s">
        <v>74</v>
      </c>
      <c r="D5" s="11" t="s">
        <v>75</v>
      </c>
      <c r="E5" s="11" t="s">
        <v>76</v>
      </c>
      <c r="F5" s="11" t="s">
        <v>77</v>
      </c>
      <c r="G5" s="11" t="s">
        <v>78</v>
      </c>
      <c r="H5" s="12" t="s">
        <v>79</v>
      </c>
      <c r="I5" s="14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</row>
    <row r="6" spans="1:26" ht="12.75">
      <c r="A6" s="14"/>
      <c r="B6" s="14"/>
      <c r="C6" s="4">
        <v>0.001408</v>
      </c>
      <c r="D6" s="4">
        <v>0.001427</v>
      </c>
      <c r="E6" s="4">
        <v>0.001442</v>
      </c>
      <c r="F6" s="4"/>
      <c r="G6" s="4">
        <v>0.001448</v>
      </c>
      <c r="H6" s="4"/>
      <c r="I6" s="14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</row>
    <row r="7" spans="1:26" ht="12.75">
      <c r="A7" s="14"/>
      <c r="B7" s="14"/>
      <c r="C7" s="4">
        <v>0.205185</v>
      </c>
      <c r="D7" s="4">
        <v>0.205216</v>
      </c>
      <c r="E7" s="4">
        <v>0.205289</v>
      </c>
      <c r="F7" s="4">
        <v>0.205357</v>
      </c>
      <c r="G7" s="4">
        <v>0.205299</v>
      </c>
      <c r="H7" s="4">
        <v>0.205284</v>
      </c>
      <c r="I7" s="14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</row>
    <row r="8" spans="1:26" ht="12.75">
      <c r="A8" s="14"/>
      <c r="B8" s="14"/>
      <c r="C8" s="4">
        <v>0.409122</v>
      </c>
      <c r="D8" s="4">
        <v>0.409089</v>
      </c>
      <c r="E8" s="4">
        <v>0.409186</v>
      </c>
      <c r="F8" s="4">
        <v>0.409233</v>
      </c>
      <c r="G8" s="13">
        <v>0.409188</v>
      </c>
      <c r="H8" s="13">
        <v>0.409216</v>
      </c>
      <c r="I8" s="14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</row>
    <row r="9" spans="1:26" ht="12.75">
      <c r="A9" s="14"/>
      <c r="B9" s="14"/>
      <c r="C9" s="4">
        <v>0.613222</v>
      </c>
      <c r="D9" s="4">
        <v>0.613094</v>
      </c>
      <c r="E9" s="4">
        <v>0.613121</v>
      </c>
      <c r="F9" s="4">
        <v>0.613183</v>
      </c>
      <c r="G9" s="4">
        <v>0.613212</v>
      </c>
      <c r="H9" s="4">
        <v>0.613091</v>
      </c>
      <c r="I9" s="14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</row>
    <row r="10" spans="1:26" ht="12.75">
      <c r="A10" s="14"/>
      <c r="B10" s="14"/>
      <c r="C10" s="4">
        <v>0.817001</v>
      </c>
      <c r="D10" s="4">
        <v>0.817031</v>
      </c>
      <c r="E10" s="4">
        <v>0.817143</v>
      </c>
      <c r="F10" s="4">
        <v>0.817174</v>
      </c>
      <c r="G10" s="4">
        <v>0.817144</v>
      </c>
      <c r="H10" s="4">
        <v>0.817243</v>
      </c>
      <c r="I10" s="14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</row>
    <row r="11" spans="1:26" ht="12.75">
      <c r="A11" s="14"/>
      <c r="B11" s="14"/>
      <c r="C11" s="4">
        <v>1.02018</v>
      </c>
      <c r="D11" s="4">
        <v>1.020985</v>
      </c>
      <c r="E11" s="4">
        <v>1.021071</v>
      </c>
      <c r="F11" s="4">
        <v>1.021227</v>
      </c>
      <c r="G11" s="4">
        <v>1.021173</v>
      </c>
      <c r="H11" s="4">
        <v>1.021144</v>
      </c>
      <c r="I11" s="14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</row>
    <row r="12" spans="1:26" ht="12.75">
      <c r="A12" s="14"/>
      <c r="B12" s="14"/>
      <c r="C12" s="4">
        <v>1.225028</v>
      </c>
      <c r="D12" s="4">
        <v>1.225042</v>
      </c>
      <c r="E12" s="4">
        <v>1.225121</v>
      </c>
      <c r="F12" s="4">
        <v>1.225292</v>
      </c>
      <c r="G12" s="4">
        <v>1.225078</v>
      </c>
      <c r="H12" s="4">
        <v>1.225215</v>
      </c>
      <c r="I12" s="14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</row>
    <row r="13" spans="1:26" ht="12.75">
      <c r="A13" s="14"/>
      <c r="B13" s="14"/>
      <c r="C13" s="4">
        <v>1.429059</v>
      </c>
      <c r="D13" s="4">
        <v>1.429144</v>
      </c>
      <c r="E13" s="4">
        <v>1.429146</v>
      </c>
      <c r="F13" s="4">
        <v>1.4293</v>
      </c>
      <c r="G13" s="4">
        <v>1.429254</v>
      </c>
      <c r="H13" s="4">
        <v>1.429343</v>
      </c>
      <c r="I13" s="14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</row>
    <row r="14" spans="1:26" ht="12.75">
      <c r="A14" s="14"/>
      <c r="B14" s="14"/>
      <c r="C14" s="4">
        <v>1.633136</v>
      </c>
      <c r="D14" s="4">
        <v>1.633197</v>
      </c>
      <c r="E14" s="4">
        <v>1.633299</v>
      </c>
      <c r="F14" s="4">
        <v>1.63335</v>
      </c>
      <c r="G14" s="4">
        <v>1.633196</v>
      </c>
      <c r="H14" s="4">
        <v>1.63336</v>
      </c>
      <c r="I14" s="14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</row>
    <row r="15" spans="1:26" ht="12.75">
      <c r="A15" s="14"/>
      <c r="B15" s="14"/>
      <c r="C15" s="4">
        <v>1.837135</v>
      </c>
      <c r="D15" s="4">
        <v>1.837132</v>
      </c>
      <c r="E15" s="4">
        <v>1.837294</v>
      </c>
      <c r="F15" s="4">
        <v>1.837389</v>
      </c>
      <c r="G15" s="4">
        <v>1.837241</v>
      </c>
      <c r="H15" s="4">
        <v>1.837431</v>
      </c>
      <c r="I15" s="14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</row>
    <row r="16" spans="1:26" ht="12.75">
      <c r="A16" s="14"/>
      <c r="B16" s="14"/>
      <c r="C16" s="4">
        <v>2.041132</v>
      </c>
      <c r="D16" s="4">
        <v>2.04127</v>
      </c>
      <c r="E16" s="4">
        <v>2.041306</v>
      </c>
      <c r="F16" s="4"/>
      <c r="G16" s="4">
        <v>2.041372</v>
      </c>
      <c r="H16" s="4"/>
      <c r="I16" s="14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</row>
    <row r="17" spans="1:26" ht="12.75">
      <c r="A17" s="14"/>
      <c r="B17" s="14"/>
      <c r="C17" s="4">
        <v>0.001452</v>
      </c>
      <c r="D17" s="4">
        <v>0.001461</v>
      </c>
      <c r="E17" s="4"/>
      <c r="F17" s="4">
        <v>0.001431</v>
      </c>
      <c r="G17" s="4"/>
      <c r="H17" s="4">
        <v>0.001427</v>
      </c>
      <c r="I17" s="14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</row>
    <row r="18" spans="1:26" ht="12.75">
      <c r="A18" s="14"/>
      <c r="B18" s="14"/>
      <c r="C18" s="14"/>
      <c r="D18" s="14"/>
      <c r="E18" s="14"/>
      <c r="F18" s="14"/>
      <c r="G18" s="14"/>
      <c r="H18" s="14"/>
      <c r="I18" s="14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</row>
    <row r="19" spans="1:26" ht="12.75">
      <c r="A19" s="14"/>
      <c r="B19" s="14"/>
      <c r="C19" s="14"/>
      <c r="D19" s="14"/>
      <c r="E19" s="14"/>
      <c r="F19" s="14"/>
      <c r="G19" s="14"/>
      <c r="H19" s="14"/>
      <c r="I19" s="14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</row>
    <row r="20" spans="1:26" ht="12.75">
      <c r="A20" s="14"/>
      <c r="B20" s="14"/>
      <c r="C20" s="14"/>
      <c r="D20" s="14"/>
      <c r="E20" s="14"/>
      <c r="F20" s="14"/>
      <c r="G20" s="14"/>
      <c r="H20" s="14"/>
      <c r="I20" s="14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</row>
    <row r="21" spans="1:26" ht="12.75">
      <c r="A21" s="14"/>
      <c r="B21" s="14"/>
      <c r="C21" s="14"/>
      <c r="D21" s="14"/>
      <c r="E21" s="14"/>
      <c r="F21" s="14"/>
      <c r="G21" s="14"/>
      <c r="H21" s="14"/>
      <c r="I21" s="14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</row>
    <row r="22" spans="1:26" ht="12.75">
      <c r="A22" s="14"/>
      <c r="B22" s="14"/>
      <c r="C22" s="14"/>
      <c r="D22" s="14"/>
      <c r="E22" s="14"/>
      <c r="F22" s="14"/>
      <c r="G22" s="14"/>
      <c r="H22" s="14"/>
      <c r="I22" s="14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</row>
    <row r="23" spans="1:26" ht="12.75">
      <c r="A23" s="14"/>
      <c r="B23" s="14"/>
      <c r="C23" s="14"/>
      <c r="D23" s="14"/>
      <c r="E23" s="14"/>
      <c r="F23" s="14"/>
      <c r="G23" s="14"/>
      <c r="H23" s="14"/>
      <c r="I23" s="14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</row>
    <row r="24" spans="1:26" ht="12.75">
      <c r="A24" s="14"/>
      <c r="B24" s="14"/>
      <c r="C24" s="14"/>
      <c r="D24" s="14"/>
      <c r="E24" s="14"/>
      <c r="F24" s="14"/>
      <c r="G24" s="14"/>
      <c r="H24" s="14"/>
      <c r="I24" s="14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</row>
    <row r="25" spans="1:26" ht="12.75">
      <c r="A25" s="14"/>
      <c r="B25" s="14"/>
      <c r="C25" s="14"/>
      <c r="D25" s="14"/>
      <c r="E25" s="14"/>
      <c r="F25" s="14"/>
      <c r="G25" s="14"/>
      <c r="H25" s="14"/>
      <c r="I25" s="14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</row>
    <row r="26" spans="1:26" ht="12.75">
      <c r="A26" s="14"/>
      <c r="B26" s="14"/>
      <c r="C26" s="14"/>
      <c r="D26" s="14"/>
      <c r="E26" s="14"/>
      <c r="F26" s="14"/>
      <c r="G26" s="14"/>
      <c r="H26" s="14"/>
      <c r="I26" s="14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</row>
    <row r="27" spans="1:26" ht="12.75">
      <c r="A27" s="14"/>
      <c r="B27" s="14"/>
      <c r="C27" s="14"/>
      <c r="D27" s="14"/>
      <c r="E27" s="14"/>
      <c r="F27" s="14"/>
      <c r="G27" s="14"/>
      <c r="H27" s="14"/>
      <c r="I27" s="14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</row>
    <row r="28" spans="1:26" ht="12.75">
      <c r="A28" s="14"/>
      <c r="B28" s="14"/>
      <c r="C28" s="14"/>
      <c r="D28" s="14"/>
      <c r="E28" s="14"/>
      <c r="F28" s="14"/>
      <c r="G28" s="14"/>
      <c r="H28" s="14"/>
      <c r="I28" s="14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</row>
    <row r="29" spans="1:26" ht="12.75">
      <c r="A29" s="14"/>
      <c r="B29" s="14"/>
      <c r="C29" s="14"/>
      <c r="D29" s="14"/>
      <c r="E29" s="14"/>
      <c r="F29" s="14"/>
      <c r="G29" s="14"/>
      <c r="H29" s="14"/>
      <c r="I29" s="14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</row>
    <row r="30" spans="1:26" ht="12.75">
      <c r="A30" s="14"/>
      <c r="B30" s="14"/>
      <c r="C30" s="14"/>
      <c r="D30" s="14"/>
      <c r="E30" s="14"/>
      <c r="F30" s="14"/>
      <c r="G30" s="14"/>
      <c r="H30" s="14"/>
      <c r="I30" s="14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</row>
    <row r="31" spans="1:26" ht="12.75">
      <c r="A31" s="14"/>
      <c r="B31" s="14"/>
      <c r="C31" s="14"/>
      <c r="D31" s="14"/>
      <c r="E31" s="14"/>
      <c r="F31" s="14"/>
      <c r="G31" s="14"/>
      <c r="H31" s="14"/>
      <c r="I31" s="14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</row>
    <row r="32" spans="1:26" ht="12.75">
      <c r="A32" s="14"/>
      <c r="B32" s="14"/>
      <c r="C32" s="14"/>
      <c r="D32" s="14"/>
      <c r="E32" s="14"/>
      <c r="F32" s="14"/>
      <c r="G32" s="14"/>
      <c r="H32" s="14"/>
      <c r="I32" s="14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</row>
    <row r="33" spans="1:26" ht="12.75">
      <c r="A33" s="14"/>
      <c r="B33" s="14"/>
      <c r="C33" s="14"/>
      <c r="D33" s="14"/>
      <c r="E33" s="14"/>
      <c r="F33" s="14"/>
      <c r="G33" s="14"/>
      <c r="H33" s="14"/>
      <c r="I33" s="14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</row>
    <row r="34" spans="1:26" ht="12.75">
      <c r="A34" s="14"/>
      <c r="B34" s="14"/>
      <c r="C34" s="14"/>
      <c r="D34" s="14"/>
      <c r="E34" s="14"/>
      <c r="F34" s="14"/>
      <c r="G34" s="14"/>
      <c r="H34" s="14"/>
      <c r="I34" s="14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</row>
    <row r="35" spans="1:26" ht="12.75">
      <c r="A35" s="14"/>
      <c r="B35" s="14"/>
      <c r="C35" s="14"/>
      <c r="D35" s="14"/>
      <c r="E35" s="14"/>
      <c r="F35" s="14"/>
      <c r="G35" s="14"/>
      <c r="H35" s="14"/>
      <c r="I35" s="14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</row>
    <row r="36" spans="1:26" ht="12.75">
      <c r="A36" s="14"/>
      <c r="B36" s="14"/>
      <c r="C36" s="14"/>
      <c r="D36" s="14"/>
      <c r="E36" s="14"/>
      <c r="F36" s="14"/>
      <c r="G36" s="14"/>
      <c r="H36" s="14"/>
      <c r="I36" s="14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</row>
    <row r="37" spans="1:26" ht="12.75">
      <c r="A37" s="14"/>
      <c r="B37" s="14"/>
      <c r="C37" s="14"/>
      <c r="D37" s="14"/>
      <c r="E37" s="14"/>
      <c r="F37" s="14"/>
      <c r="G37" s="14"/>
      <c r="H37" s="14"/>
      <c r="I37" s="14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</row>
    <row r="38" spans="1:26" ht="12.75">
      <c r="A38" s="14"/>
      <c r="B38" s="14"/>
      <c r="C38" s="14"/>
      <c r="D38" s="14"/>
      <c r="E38" s="14"/>
      <c r="F38" s="14"/>
      <c r="G38" s="14"/>
      <c r="H38" s="14"/>
      <c r="I38" s="14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</row>
    <row r="39" spans="1:26" ht="12.75">
      <c r="A39" s="14"/>
      <c r="B39" s="14"/>
      <c r="C39" s="14"/>
      <c r="D39" s="14"/>
      <c r="E39" s="14"/>
      <c r="F39" s="14"/>
      <c r="G39" s="14"/>
      <c r="H39" s="14"/>
      <c r="I39" s="14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</row>
    <row r="40" spans="1:26" ht="12.75">
      <c r="A40" s="14"/>
      <c r="B40" s="14"/>
      <c r="C40" s="14"/>
      <c r="D40" s="14"/>
      <c r="E40" s="14"/>
      <c r="F40" s="14"/>
      <c r="G40" s="14"/>
      <c r="H40" s="14"/>
      <c r="I40" s="14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</row>
    <row r="41" spans="1:26" ht="12.75">
      <c r="A41" s="14"/>
      <c r="B41" s="14"/>
      <c r="C41" s="14"/>
      <c r="D41" s="14"/>
      <c r="E41" s="14"/>
      <c r="F41" s="14"/>
      <c r="G41" s="14"/>
      <c r="H41" s="14"/>
      <c r="I41" s="14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</row>
    <row r="42" spans="1:26" ht="12.75">
      <c r="A42" s="14"/>
      <c r="B42" s="14"/>
      <c r="C42" s="14"/>
      <c r="D42" s="14"/>
      <c r="E42" s="14"/>
      <c r="F42" s="14"/>
      <c r="G42" s="14"/>
      <c r="H42" s="14"/>
      <c r="I42" s="14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</row>
    <row r="43" spans="1:26" ht="12.75">
      <c r="A43" s="14"/>
      <c r="B43" s="14"/>
      <c r="C43" s="14"/>
      <c r="D43" s="14"/>
      <c r="E43" s="14"/>
      <c r="F43" s="14"/>
      <c r="G43" s="14"/>
      <c r="H43" s="14"/>
      <c r="I43" s="14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</row>
    <row r="44" spans="1:26" ht="12.75">
      <c r="A44" s="14"/>
      <c r="B44" s="14"/>
      <c r="C44" s="14"/>
      <c r="D44" s="14"/>
      <c r="E44" s="14"/>
      <c r="F44" s="14"/>
      <c r="G44" s="14"/>
      <c r="H44" s="14"/>
      <c r="I44" s="14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</row>
    <row r="45" spans="1:26" ht="12.75">
      <c r="A45" s="14"/>
      <c r="B45" s="14"/>
      <c r="C45" s="14"/>
      <c r="D45" s="14"/>
      <c r="E45" s="14"/>
      <c r="F45" s="14"/>
      <c r="G45" s="14"/>
      <c r="H45" s="14"/>
      <c r="I45" s="14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</row>
    <row r="46" spans="1:26" ht="12.75">
      <c r="A46" s="14"/>
      <c r="B46" s="14"/>
      <c r="C46" s="14"/>
      <c r="D46" s="14"/>
      <c r="E46" s="14"/>
      <c r="F46" s="14"/>
      <c r="G46" s="14"/>
      <c r="H46" s="14"/>
      <c r="I46" s="14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</row>
    <row r="47" spans="1:26" ht="12.75">
      <c r="A47" s="14"/>
      <c r="B47" s="14"/>
      <c r="C47" s="14"/>
      <c r="D47" s="14"/>
      <c r="E47" s="14"/>
      <c r="F47" s="14"/>
      <c r="G47" s="14"/>
      <c r="H47" s="14"/>
      <c r="I47" s="14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</row>
    <row r="48" spans="1:26" ht="12.75">
      <c r="A48" s="14"/>
      <c r="B48" s="14"/>
      <c r="C48" s="14"/>
      <c r="D48" s="14"/>
      <c r="E48" s="14"/>
      <c r="F48" s="14"/>
      <c r="G48" s="14"/>
      <c r="H48" s="14"/>
      <c r="I48" s="14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</row>
    <row r="49" spans="1:26" ht="12.75">
      <c r="A49" s="14"/>
      <c r="B49" s="14"/>
      <c r="C49" s="14"/>
      <c r="D49" s="14"/>
      <c r="E49" s="14"/>
      <c r="F49" s="14"/>
      <c r="G49" s="14"/>
      <c r="H49" s="14"/>
      <c r="I49" s="14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</row>
    <row r="50" spans="1:26" ht="12.75">
      <c r="A50" s="14"/>
      <c r="B50" s="14"/>
      <c r="C50" s="14"/>
      <c r="D50" s="14"/>
      <c r="E50" s="14"/>
      <c r="F50" s="14"/>
      <c r="G50" s="14"/>
      <c r="H50" s="14"/>
      <c r="I50" s="14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</row>
    <row r="51" spans="1:26" ht="12.75">
      <c r="A51" s="14"/>
      <c r="B51" s="14"/>
      <c r="C51" s="14"/>
      <c r="D51" s="14"/>
      <c r="E51" s="14"/>
      <c r="F51" s="14"/>
      <c r="G51" s="14"/>
      <c r="H51" s="14"/>
      <c r="I51" s="14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1:26" ht="12.75">
      <c r="A52" s="14"/>
      <c r="B52" s="14"/>
      <c r="C52" s="14"/>
      <c r="D52" s="14"/>
      <c r="E52" s="14"/>
      <c r="F52" s="14"/>
      <c r="G52" s="14"/>
      <c r="H52" s="14"/>
      <c r="I52" s="14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</row>
    <row r="53" spans="1:26" ht="12.75">
      <c r="A53" s="14"/>
      <c r="B53" s="14"/>
      <c r="C53" s="14"/>
      <c r="D53" s="14"/>
      <c r="E53" s="14"/>
      <c r="F53" s="14"/>
      <c r="G53" s="14"/>
      <c r="H53" s="14"/>
      <c r="I53" s="14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</row>
    <row r="54" spans="1:26" ht="12.75">
      <c r="A54" s="14"/>
      <c r="B54" s="14"/>
      <c r="C54" s="14"/>
      <c r="D54" s="14"/>
      <c r="E54" s="14"/>
      <c r="F54" s="14"/>
      <c r="G54" s="14"/>
      <c r="H54" s="14"/>
      <c r="I54" s="14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</row>
    <row r="55" spans="1:26" ht="12.75">
      <c r="A55" s="14"/>
      <c r="B55" s="14"/>
      <c r="C55" s="14"/>
      <c r="D55" s="14"/>
      <c r="E55" s="14"/>
      <c r="F55" s="14"/>
      <c r="G55" s="14"/>
      <c r="H55" s="14"/>
      <c r="I55" s="14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</row>
    <row r="56" spans="1:26" ht="12.75">
      <c r="A56" s="14"/>
      <c r="B56" s="14"/>
      <c r="C56" s="14"/>
      <c r="D56" s="14"/>
      <c r="E56" s="14"/>
      <c r="F56" s="14"/>
      <c r="G56" s="14"/>
      <c r="H56" s="14"/>
      <c r="I56" s="14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</row>
    <row r="57" spans="1:26" ht="12.75">
      <c r="A57" s="14"/>
      <c r="B57" s="14"/>
      <c r="C57" s="14"/>
      <c r="D57" s="14"/>
      <c r="E57" s="14"/>
      <c r="F57" s="14"/>
      <c r="G57" s="14"/>
      <c r="H57" s="14"/>
      <c r="I57" s="14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</row>
    <row r="58" spans="1:26" ht="12.75">
      <c r="A58" s="14"/>
      <c r="B58" s="14"/>
      <c r="C58" s="14"/>
      <c r="D58" s="14"/>
      <c r="E58" s="14"/>
      <c r="F58" s="14"/>
      <c r="G58" s="14"/>
      <c r="H58" s="14"/>
      <c r="I58" s="14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</row>
    <row r="59" spans="1:26" ht="12.75">
      <c r="A59" s="14"/>
      <c r="B59" s="14"/>
      <c r="C59" s="14"/>
      <c r="D59" s="14"/>
      <c r="E59" s="14"/>
      <c r="F59" s="14"/>
      <c r="G59" s="14"/>
      <c r="H59" s="14"/>
      <c r="I59" s="14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</row>
    <row r="60" spans="1:26" ht="12.75">
      <c r="A60" s="14"/>
      <c r="B60" s="14"/>
      <c r="C60" s="14"/>
      <c r="D60" s="14"/>
      <c r="E60" s="14"/>
      <c r="F60" s="14"/>
      <c r="G60" s="14"/>
      <c r="H60" s="14"/>
      <c r="I60" s="14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</row>
    <row r="61" spans="1:26" ht="12.75">
      <c r="A61" s="14"/>
      <c r="B61" s="14"/>
      <c r="C61" s="14"/>
      <c r="D61" s="14"/>
      <c r="E61" s="14"/>
      <c r="F61" s="14"/>
      <c r="G61" s="14"/>
      <c r="H61" s="14"/>
      <c r="I61" s="14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</row>
    <row r="62" spans="1:26" ht="12.75">
      <c r="A62" s="14"/>
      <c r="B62" s="14"/>
      <c r="C62" s="14"/>
      <c r="D62" s="14"/>
      <c r="E62" s="14"/>
      <c r="F62" s="14"/>
      <c r="G62" s="14"/>
      <c r="H62" s="14"/>
      <c r="I62" s="14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</row>
    <row r="63" spans="1:26" ht="12.75">
      <c r="A63" s="14"/>
      <c r="B63" s="14"/>
      <c r="C63" s="14"/>
      <c r="D63" s="14"/>
      <c r="E63" s="14"/>
      <c r="F63" s="14"/>
      <c r="G63" s="14"/>
      <c r="H63" s="14"/>
      <c r="I63" s="14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</row>
    <row r="64" spans="1:26" ht="12.75">
      <c r="A64" s="14"/>
      <c r="B64" s="14"/>
      <c r="C64" s="14"/>
      <c r="D64" s="14"/>
      <c r="E64" s="14"/>
      <c r="F64" s="14"/>
      <c r="G64" s="14"/>
      <c r="H64" s="14"/>
      <c r="I64" s="14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</row>
    <row r="65" spans="1:9" ht="12.75">
      <c r="A65" s="14"/>
      <c r="B65" s="14"/>
      <c r="C65" s="14"/>
      <c r="D65" s="14"/>
      <c r="E65" s="14"/>
      <c r="F65" s="14"/>
      <c r="G65" s="14"/>
      <c r="H65" s="14"/>
      <c r="I65" s="14"/>
    </row>
  </sheetData>
  <mergeCells count="3">
    <mergeCell ref="C4:H4"/>
    <mergeCell ref="E3:F3"/>
    <mergeCell ref="B3:B4"/>
  </mergeCells>
  <printOptions/>
  <pageMargins left="0.75" right="0.75" top="1" bottom="1" header="0" footer="0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46"/>
  <sheetViews>
    <sheetView workbookViewId="0" topLeftCell="A1">
      <selection activeCell="E18" sqref="E18"/>
    </sheetView>
  </sheetViews>
  <sheetFormatPr defaultColWidth="11.421875" defaultRowHeight="12.75"/>
  <cols>
    <col min="3" max="3" width="18.57421875" style="0" customWidth="1"/>
    <col min="4" max="4" width="14.00390625" style="0" customWidth="1"/>
  </cols>
  <sheetData>
    <row r="1" spans="1:16" ht="12.75">
      <c r="A1" s="14"/>
      <c r="B1" s="14" t="s">
        <v>115</v>
      </c>
      <c r="C1" s="14"/>
      <c r="D1" s="14"/>
      <c r="E1" s="14"/>
      <c r="F1" s="14"/>
      <c r="G1" s="41"/>
      <c r="H1" s="41"/>
      <c r="I1" s="41"/>
      <c r="J1" s="41"/>
      <c r="K1" s="41"/>
      <c r="L1" s="41"/>
      <c r="M1" s="41"/>
      <c r="N1" s="41"/>
      <c r="O1" s="41"/>
      <c r="P1" s="41"/>
    </row>
    <row r="2" spans="1:16" ht="13.5" thickBot="1">
      <c r="A2" s="14"/>
      <c r="B2" s="14"/>
      <c r="C2" s="14"/>
      <c r="D2" s="14"/>
      <c r="E2" s="14"/>
      <c r="F2" s="14"/>
      <c r="G2" s="41"/>
      <c r="H2" s="41"/>
      <c r="I2" s="41"/>
      <c r="J2" s="41"/>
      <c r="K2" s="41"/>
      <c r="L2" s="41"/>
      <c r="M2" s="41"/>
      <c r="N2" s="41"/>
      <c r="O2" s="41"/>
      <c r="P2" s="41"/>
    </row>
    <row r="3" spans="1:16" ht="12.75">
      <c r="A3" s="14"/>
      <c r="B3" s="268" t="s">
        <v>129</v>
      </c>
      <c r="C3" s="268" t="s">
        <v>130</v>
      </c>
      <c r="D3" s="268" t="s">
        <v>131</v>
      </c>
      <c r="E3" s="106"/>
      <c r="F3" s="14"/>
      <c r="G3" s="41"/>
      <c r="H3" s="41"/>
      <c r="I3" s="41"/>
      <c r="J3" s="41"/>
      <c r="K3" s="41"/>
      <c r="L3" s="41"/>
      <c r="M3" s="41"/>
      <c r="N3" s="41"/>
      <c r="O3" s="41"/>
      <c r="P3" s="41"/>
    </row>
    <row r="4" spans="1:16" ht="13.5" thickBot="1">
      <c r="A4" s="14"/>
      <c r="B4" s="269"/>
      <c r="C4" s="269"/>
      <c r="D4" s="269"/>
      <c r="E4" s="106"/>
      <c r="F4" s="14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.75">
      <c r="A5" s="14"/>
      <c r="B5" s="107"/>
      <c r="C5" s="101"/>
      <c r="D5" s="156"/>
      <c r="E5" s="106"/>
      <c r="F5" s="14"/>
      <c r="G5" s="41"/>
      <c r="H5" s="41"/>
      <c r="I5" s="41"/>
      <c r="J5" s="41"/>
      <c r="K5" s="41"/>
      <c r="L5" s="41"/>
      <c r="M5" s="41"/>
      <c r="N5" s="41"/>
      <c r="O5" s="41"/>
      <c r="P5" s="41"/>
    </row>
    <row r="6" spans="1:16" ht="12.75">
      <c r="A6" s="14"/>
      <c r="B6" s="107"/>
      <c r="C6" s="101"/>
      <c r="D6" s="156"/>
      <c r="E6" s="106"/>
      <c r="F6" s="14"/>
      <c r="G6" s="41"/>
      <c r="H6" s="41"/>
      <c r="I6" s="41"/>
      <c r="J6" s="41"/>
      <c r="K6" s="41"/>
      <c r="L6" s="41"/>
      <c r="M6" s="41"/>
      <c r="N6" s="41"/>
      <c r="O6" s="41"/>
      <c r="P6" s="41"/>
    </row>
    <row r="7" spans="1:16" ht="12.75">
      <c r="A7" s="14"/>
      <c r="B7" s="107"/>
      <c r="C7" s="101"/>
      <c r="D7" s="156"/>
      <c r="E7" s="106"/>
      <c r="F7" s="14"/>
      <c r="G7" s="41"/>
      <c r="H7" s="41"/>
      <c r="I7" s="41"/>
      <c r="J7" s="41"/>
      <c r="K7" s="41"/>
      <c r="L7" s="41"/>
      <c r="M7" s="41"/>
      <c r="N7" s="41"/>
      <c r="O7" s="41"/>
      <c r="P7" s="41"/>
    </row>
    <row r="8" spans="1:16" ht="12.75">
      <c r="A8" s="14"/>
      <c r="B8" s="107"/>
      <c r="C8" s="101"/>
      <c r="D8" s="156"/>
      <c r="E8" s="106"/>
      <c r="F8" s="14"/>
      <c r="G8" s="41"/>
      <c r="H8" s="41"/>
      <c r="I8" s="41"/>
      <c r="J8" s="41"/>
      <c r="K8" s="41"/>
      <c r="L8" s="41"/>
      <c r="M8" s="41"/>
      <c r="N8" s="41"/>
      <c r="O8" s="41"/>
      <c r="P8" s="41"/>
    </row>
    <row r="9" spans="1:16" ht="12.75">
      <c r="A9" s="14"/>
      <c r="B9" s="107"/>
      <c r="C9" s="101"/>
      <c r="D9" s="156"/>
      <c r="E9" s="106"/>
      <c r="F9" s="14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16" ht="12.75">
      <c r="A10" s="14"/>
      <c r="B10" s="107"/>
      <c r="C10" s="101"/>
      <c r="D10" s="156"/>
      <c r="E10" s="106"/>
      <c r="F10" s="14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16" ht="12.75">
      <c r="A11" s="14"/>
      <c r="B11" s="14"/>
      <c r="C11" s="14"/>
      <c r="D11" s="14"/>
      <c r="E11" s="14"/>
      <c r="F11" s="14"/>
      <c r="G11" s="41"/>
      <c r="H11" s="41"/>
      <c r="I11" s="41"/>
      <c r="J11" s="41"/>
      <c r="K11" s="41"/>
      <c r="L11" s="41"/>
      <c r="M11" s="41"/>
      <c r="N11" s="41"/>
      <c r="O11" s="41"/>
      <c r="P11" s="41"/>
    </row>
    <row r="12" spans="1:16" ht="12.75">
      <c r="A12" s="14"/>
      <c r="B12" s="14" t="s">
        <v>114</v>
      </c>
      <c r="C12" s="14"/>
      <c r="D12" s="14"/>
      <c r="E12" s="14"/>
      <c r="F12" s="14"/>
      <c r="G12" s="41"/>
      <c r="H12" s="41"/>
      <c r="I12" s="41"/>
      <c r="J12" s="41"/>
      <c r="K12" s="41"/>
      <c r="L12" s="41"/>
      <c r="M12" s="41"/>
      <c r="N12" s="41"/>
      <c r="O12" s="41"/>
      <c r="P12" s="41"/>
    </row>
    <row r="13" spans="1:16" ht="13.5" thickBot="1">
      <c r="A13" s="14"/>
      <c r="B13" s="14"/>
      <c r="C13" s="14"/>
      <c r="D13" s="14"/>
      <c r="E13" s="14"/>
      <c r="F13" s="14"/>
      <c r="G13" s="41"/>
      <c r="H13" s="41"/>
      <c r="I13" s="41"/>
      <c r="J13" s="41"/>
      <c r="K13" s="41"/>
      <c r="L13" s="41"/>
      <c r="M13" s="41"/>
      <c r="N13" s="41"/>
      <c r="O13" s="41"/>
      <c r="P13" s="41"/>
    </row>
    <row r="14" spans="1:16" ht="19.5" customHeight="1">
      <c r="A14" s="14"/>
      <c r="B14" s="260" t="s">
        <v>113</v>
      </c>
      <c r="C14" s="266" t="s">
        <v>122</v>
      </c>
      <c r="D14" s="263" t="s">
        <v>73</v>
      </c>
      <c r="E14" s="106"/>
      <c r="F14" s="14"/>
      <c r="G14" s="41"/>
      <c r="H14" s="41"/>
      <c r="I14" s="41"/>
      <c r="J14" s="41"/>
      <c r="K14" s="41"/>
      <c r="L14" s="41"/>
      <c r="M14" s="41"/>
      <c r="N14" s="41"/>
      <c r="O14" s="41"/>
      <c r="P14" s="41"/>
    </row>
    <row r="15" spans="1:16" ht="19.5" customHeight="1">
      <c r="A15" s="14"/>
      <c r="B15" s="261"/>
      <c r="C15" s="267"/>
      <c r="D15" s="264"/>
      <c r="E15" s="106"/>
      <c r="F15" s="14"/>
      <c r="G15" s="41"/>
      <c r="H15" s="41"/>
      <c r="I15" s="41"/>
      <c r="J15" s="41"/>
      <c r="K15" s="41"/>
      <c r="L15" s="41"/>
      <c r="M15" s="41"/>
      <c r="N15" s="41"/>
      <c r="O15" s="41"/>
      <c r="P15" s="41"/>
    </row>
    <row r="16" spans="1:16" ht="19.5" customHeight="1">
      <c r="A16" s="14"/>
      <c r="B16" s="262"/>
      <c r="C16" s="102" t="str">
        <f>"             ("&amp;TEXT('Toma datos'!F21,"#,0")&amp;")"</f>
        <v>             (mV/V)</v>
      </c>
      <c r="D16" s="265"/>
      <c r="E16" s="106"/>
      <c r="F16" s="14"/>
      <c r="G16" s="41"/>
      <c r="H16" s="41"/>
      <c r="I16" s="41"/>
      <c r="J16" s="41"/>
      <c r="K16" s="41"/>
      <c r="L16" s="41"/>
      <c r="M16" s="41"/>
      <c r="N16" s="41"/>
      <c r="O16" s="41"/>
      <c r="P16" s="41"/>
    </row>
    <row r="17" spans="1:16" ht="12.75">
      <c r="A17" s="14"/>
      <c r="B17" s="104">
        <f>'Resultados 1'!A14</f>
        <v>2</v>
      </c>
      <c r="C17" s="194">
        <f>'Resultados 1'!B14</f>
        <v>0.203825</v>
      </c>
      <c r="D17" s="196">
        <f>'calcul inc'!J13</f>
        <v>2030.8355262780117</v>
      </c>
      <c r="E17" s="106"/>
      <c r="F17" s="14"/>
      <c r="G17" s="41"/>
      <c r="H17" s="41"/>
      <c r="I17" s="41"/>
      <c r="J17" s="41"/>
      <c r="K17" s="41"/>
      <c r="L17" s="41"/>
      <c r="M17" s="41"/>
      <c r="N17" s="41"/>
      <c r="O17" s="41"/>
      <c r="P17" s="41"/>
    </row>
    <row r="18" spans="1:16" ht="12.75">
      <c r="A18" s="14"/>
      <c r="B18" s="104">
        <f>'Resultados 1'!A15</f>
        <v>4</v>
      </c>
      <c r="C18" s="194">
        <f>'Resultados 1'!B15</f>
        <v>0.4077326666666667</v>
      </c>
      <c r="D18" s="196">
        <f>'calcul inc'!J14</f>
        <v>2015.6789173484256</v>
      </c>
      <c r="E18" s="106"/>
      <c r="F18" s="14"/>
      <c r="G18" s="41"/>
      <c r="H18" s="41"/>
      <c r="I18" s="41"/>
      <c r="J18" s="41"/>
      <c r="K18" s="41"/>
      <c r="L18" s="41"/>
      <c r="M18" s="41"/>
      <c r="N18" s="41"/>
      <c r="O18" s="41"/>
      <c r="P18" s="41"/>
    </row>
    <row r="19" spans="1:16" ht="12.75">
      <c r="A19" s="14"/>
      <c r="B19" s="104">
        <f>'Resultados 1'!A16</f>
        <v>6</v>
      </c>
      <c r="C19" s="194">
        <f>'Resultados 1'!B16</f>
        <v>0.6117523333333333</v>
      </c>
      <c r="D19" s="196">
        <f>'calcul inc'!J15</f>
        <v>2011.0505744716054</v>
      </c>
      <c r="E19" s="106"/>
      <c r="F19" s="14"/>
      <c r="G19" s="41"/>
      <c r="H19" s="41"/>
      <c r="I19" s="41"/>
      <c r="J19" s="41"/>
      <c r="K19" s="41"/>
      <c r="L19" s="41"/>
      <c r="M19" s="41"/>
      <c r="N19" s="41"/>
      <c r="O19" s="41"/>
      <c r="P19" s="41"/>
    </row>
    <row r="20" spans="1:16" ht="12.75">
      <c r="A20" s="14"/>
      <c r="B20" s="104">
        <f>'Resultados 1'!A17</f>
        <v>8</v>
      </c>
      <c r="C20" s="194">
        <f>'Resultados 1'!B17</f>
        <v>0.8156633333333333</v>
      </c>
      <c r="D20" s="196">
        <f>'calcul inc'!J16</f>
        <v>2008.4703288284466</v>
      </c>
      <c r="E20" s="106"/>
      <c r="F20" s="14"/>
      <c r="G20" s="41"/>
      <c r="H20" s="41"/>
      <c r="I20" s="41"/>
      <c r="J20" s="41"/>
      <c r="K20" s="41"/>
      <c r="L20" s="41"/>
      <c r="M20" s="41"/>
      <c r="N20" s="41"/>
      <c r="O20" s="41"/>
      <c r="P20" s="41"/>
    </row>
    <row r="21" spans="1:16" ht="12.75">
      <c r="A21" s="14"/>
      <c r="B21" s="104">
        <f>'Resultados 1'!A18</f>
        <v>10</v>
      </c>
      <c r="C21" s="194">
        <f>'Resultados 1'!B18</f>
        <v>1.0193753333333335</v>
      </c>
      <c r="D21" s="196">
        <f>'calcul inc'!J17</f>
        <v>2006.524221215209</v>
      </c>
      <c r="E21" s="106"/>
      <c r="F21" s="14"/>
      <c r="G21" s="41"/>
      <c r="H21" s="41"/>
      <c r="I21" s="41"/>
      <c r="J21" s="41"/>
      <c r="K21" s="41"/>
      <c r="L21" s="41"/>
      <c r="M21" s="41"/>
      <c r="N21" s="41"/>
      <c r="O21" s="41"/>
      <c r="P21" s="41"/>
    </row>
    <row r="22" spans="1:16" ht="12.75">
      <c r="A22" s="14"/>
      <c r="B22" s="104">
        <f>'Resultados 1'!A19</f>
        <v>12</v>
      </c>
      <c r="C22" s="194">
        <f>'Resultados 1'!B19</f>
        <v>1.223643</v>
      </c>
      <c r="D22" s="196">
        <f>'calcul inc'!J18</f>
        <v>2006.156842754604</v>
      </c>
      <c r="E22" s="106"/>
      <c r="F22" s="14"/>
      <c r="G22" s="41"/>
      <c r="H22" s="41"/>
      <c r="I22" s="41"/>
      <c r="J22" s="41"/>
      <c r="K22" s="41"/>
      <c r="L22" s="41"/>
      <c r="M22" s="41"/>
      <c r="N22" s="41"/>
      <c r="O22" s="41"/>
      <c r="P22" s="41"/>
    </row>
    <row r="23" spans="1:16" ht="12.75">
      <c r="A23" s="14"/>
      <c r="B23" s="104">
        <f>'Resultados 1'!A20</f>
        <v>14</v>
      </c>
      <c r="C23" s="194">
        <f>'Resultados 1'!B20</f>
        <v>1.4277203333333335</v>
      </c>
      <c r="D23" s="196">
        <f>'calcul inc'!J19</f>
        <v>2005.620860371543</v>
      </c>
      <c r="E23" s="106"/>
      <c r="F23" s="14"/>
      <c r="G23" s="41"/>
      <c r="H23" s="41"/>
      <c r="I23" s="41"/>
      <c r="J23" s="41"/>
      <c r="K23" s="41"/>
      <c r="L23" s="41"/>
      <c r="M23" s="41"/>
      <c r="N23" s="41"/>
      <c r="O23" s="41"/>
      <c r="P23" s="41"/>
    </row>
    <row r="24" spans="1:16" ht="12.75">
      <c r="A24" s="14"/>
      <c r="B24" s="104">
        <f>'Resultados 1'!A21</f>
        <v>16</v>
      </c>
      <c r="C24" s="194">
        <f>'Resultados 1'!B21</f>
        <v>1.6317776666666666</v>
      </c>
      <c r="D24" s="196">
        <f>'calcul inc'!J20</f>
        <v>2005.193194392175</v>
      </c>
      <c r="E24" s="106"/>
      <c r="F24" s="14"/>
      <c r="G24" s="41"/>
      <c r="H24" s="41"/>
      <c r="I24" s="41"/>
      <c r="J24" s="41"/>
      <c r="K24" s="41"/>
      <c r="L24" s="41"/>
      <c r="M24" s="41"/>
      <c r="N24" s="41"/>
      <c r="O24" s="41"/>
      <c r="P24" s="41"/>
    </row>
    <row r="25" spans="1:16" ht="12.75">
      <c r="A25" s="14"/>
      <c r="B25" s="104">
        <f>'Resultados 1'!A22</f>
        <v>18</v>
      </c>
      <c r="C25" s="194">
        <f>'Resultados 1'!B22</f>
        <v>1.8357906666666668</v>
      </c>
      <c r="D25" s="196">
        <f>'calcul inc'!J21</f>
        <v>2004.810566185786</v>
      </c>
      <c r="E25" s="14"/>
      <c r="F25" s="14"/>
      <c r="G25" s="41"/>
      <c r="H25" s="41"/>
      <c r="I25" s="41"/>
      <c r="J25" s="41"/>
      <c r="K25" s="41"/>
      <c r="L25" s="41"/>
      <c r="M25" s="41"/>
      <c r="N25" s="41"/>
      <c r="O25" s="41"/>
      <c r="P25" s="41"/>
    </row>
    <row r="26" spans="1:16" ht="13.5" thickBot="1">
      <c r="A26" s="14"/>
      <c r="B26" s="105">
        <f>'Resultados 1'!A23</f>
        <v>20</v>
      </c>
      <c r="C26" s="195">
        <f>'Resultados 1'!B23</f>
        <v>2.0398373333333333</v>
      </c>
      <c r="D26" s="197">
        <f>'calcul inc'!J22</f>
        <v>2004.5376570514536</v>
      </c>
      <c r="E26" s="14"/>
      <c r="F26" s="14"/>
      <c r="G26" s="41"/>
      <c r="H26" s="41"/>
      <c r="I26" s="41"/>
      <c r="J26" s="41"/>
      <c r="K26" s="41"/>
      <c r="L26" s="41"/>
      <c r="M26" s="41"/>
      <c r="N26" s="41"/>
      <c r="O26" s="41"/>
      <c r="P26" s="41"/>
    </row>
    <row r="27" spans="1:16" ht="12.75">
      <c r="A27" s="14"/>
      <c r="B27" s="103"/>
      <c r="C27" s="15"/>
      <c r="D27" s="15"/>
      <c r="E27" s="14"/>
      <c r="F27" s="14"/>
      <c r="G27" s="41"/>
      <c r="H27" s="41"/>
      <c r="I27" s="41"/>
      <c r="J27" s="41"/>
      <c r="K27" s="41"/>
      <c r="L27" s="41"/>
      <c r="M27" s="41"/>
      <c r="N27" s="41"/>
      <c r="O27" s="41"/>
      <c r="P27" s="41"/>
    </row>
    <row r="28" spans="1:16" ht="12.75">
      <c r="A28" s="14"/>
      <c r="B28" s="103"/>
      <c r="C28" s="15"/>
      <c r="D28" s="15"/>
      <c r="E28" s="14"/>
      <c r="F28" s="14"/>
      <c r="G28" s="41"/>
      <c r="H28" s="41"/>
      <c r="I28" s="41"/>
      <c r="J28" s="41"/>
      <c r="K28" s="41"/>
      <c r="L28" s="41"/>
      <c r="M28" s="41"/>
      <c r="N28" s="41"/>
      <c r="O28" s="41"/>
      <c r="P28" s="41"/>
    </row>
    <row r="29" spans="1:16" ht="12.75">
      <c r="A29" s="14"/>
      <c r="B29" s="14"/>
      <c r="C29" s="14"/>
      <c r="D29" s="14"/>
      <c r="E29" s="14"/>
      <c r="F29" s="14"/>
      <c r="G29" s="41"/>
      <c r="H29" s="41"/>
      <c r="I29" s="41"/>
      <c r="J29" s="41"/>
      <c r="K29" s="41"/>
      <c r="L29" s="41"/>
      <c r="M29" s="41"/>
      <c r="N29" s="41"/>
      <c r="O29" s="41"/>
      <c r="P29" s="41"/>
    </row>
    <row r="30" spans="1:16" ht="12.75">
      <c r="A30" s="14"/>
      <c r="B30" s="14"/>
      <c r="C30" s="14"/>
      <c r="D30" s="14"/>
      <c r="E30" s="14"/>
      <c r="F30" s="14"/>
      <c r="G30" s="41"/>
      <c r="H30" s="41"/>
      <c r="I30" s="41"/>
      <c r="J30" s="41"/>
      <c r="K30" s="41"/>
      <c r="L30" s="41"/>
      <c r="M30" s="41"/>
      <c r="N30" s="41"/>
      <c r="O30" s="41"/>
      <c r="P30" s="41"/>
    </row>
    <row r="31" spans="1:16" ht="12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</row>
    <row r="32" spans="1:16" ht="12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</row>
    <row r="33" spans="1:16" ht="12.7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</row>
    <row r="34" spans="1:16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</row>
    <row r="35" spans="1:16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</row>
    <row r="36" spans="1:16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</row>
    <row r="37" spans="1:16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</row>
    <row r="38" spans="1:16" ht="12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</row>
    <row r="39" spans="1:16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</row>
    <row r="40" spans="1:16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</row>
    <row r="41" spans="1:16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</row>
    <row r="42" spans="1:16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</row>
    <row r="43" spans="1:16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</row>
    <row r="44" spans="1:16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</row>
    <row r="45" spans="1:16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</row>
    <row r="46" spans="1:16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</row>
  </sheetData>
  <mergeCells count="6">
    <mergeCell ref="B14:B16"/>
    <mergeCell ref="D14:D16"/>
    <mergeCell ref="C14:C15"/>
    <mergeCell ref="B3:B4"/>
    <mergeCell ref="C3:C4"/>
    <mergeCell ref="D3:D4"/>
  </mergeCells>
  <printOptions/>
  <pageMargins left="0.75" right="0.75" top="1" bottom="1" header="0" footer="0"/>
  <pageSetup horizontalDpi="300" verticalDpi="300" orientation="portrait" paperSize="9" r:id="rId3"/>
  <legacyDrawing r:id="rId2"/>
  <oleObjects>
    <oleObject progId="Equation.3" shapeId="97681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AC47"/>
  <sheetViews>
    <sheetView workbookViewId="0" topLeftCell="A1">
      <selection activeCell="E6" sqref="E6"/>
    </sheetView>
  </sheetViews>
  <sheetFormatPr defaultColWidth="11.421875" defaultRowHeight="12.75"/>
  <cols>
    <col min="7" max="7" width="13.57421875" style="0" customWidth="1"/>
    <col min="8" max="8" width="13.421875" style="0" customWidth="1"/>
    <col min="9" max="9" width="16.7109375" style="0" customWidth="1"/>
  </cols>
  <sheetData>
    <row r="1" spans="1:23" ht="12.75">
      <c r="A1" s="14"/>
      <c r="B1" s="21" t="s">
        <v>101</v>
      </c>
      <c r="C1" s="14"/>
      <c r="D1" s="14"/>
      <c r="E1" s="14"/>
      <c r="F1" s="14"/>
      <c r="G1" s="14"/>
      <c r="H1" s="14"/>
      <c r="I1" s="14"/>
      <c r="J1" s="14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</row>
    <row r="2" spans="1:23" ht="12.75">
      <c r="A2" s="14"/>
      <c r="B2" s="14"/>
      <c r="C2" s="14"/>
      <c r="D2" s="14"/>
      <c r="E2" s="14"/>
      <c r="F2" s="14"/>
      <c r="G2" s="14"/>
      <c r="H2" s="14"/>
      <c r="I2" s="14"/>
      <c r="J2" s="14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</row>
    <row r="3" spans="1:23" ht="12.75">
      <c r="A3" s="14"/>
      <c r="B3" s="76" t="str">
        <f>'Resultados 1'!A12</f>
        <v>Fuerza </v>
      </c>
      <c r="C3" s="76" t="s">
        <v>46</v>
      </c>
      <c r="D3" s="14"/>
      <c r="E3" s="14"/>
      <c r="F3" s="14"/>
      <c r="G3" s="14"/>
      <c r="H3" s="14"/>
      <c r="I3" s="14"/>
      <c r="J3" s="14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</row>
    <row r="4" spans="1:23" ht="12.75">
      <c r="A4" s="14"/>
      <c r="B4" s="77" t="str">
        <f>'Resultados 1'!A13</f>
        <v>KN</v>
      </c>
      <c r="C4" s="77" t="str">
        <f>"("&amp;TEXT('Toma datos'!F21,"#,0")&amp;")"</f>
        <v>(mV/V)</v>
      </c>
      <c r="D4" s="14"/>
      <c r="E4" s="14"/>
      <c r="F4" s="14"/>
      <c r="G4" s="14"/>
      <c r="H4" s="14"/>
      <c r="I4" s="14"/>
      <c r="J4" s="14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</row>
    <row r="5" spans="1:23" ht="12.75">
      <c r="A5" s="14"/>
      <c r="B5" s="78">
        <f>'Resultados 1'!A14</f>
        <v>2</v>
      </c>
      <c r="C5" s="79">
        <f>'Resultados 1'!$E$28+'Resultados 1'!$E$29*'Resultados 1'!A14+'Resultados 1'!$E$30*'Resultados 1'!A14^2+'Resultados 1'!$E$31*'Resultados 1'!A14^3</f>
        <v>0.0040166433459131535</v>
      </c>
      <c r="D5" s="14"/>
      <c r="E5" s="14"/>
      <c r="F5" s="14"/>
      <c r="G5" s="14"/>
      <c r="H5" s="14"/>
      <c r="I5" s="14"/>
      <c r="J5" s="14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</row>
    <row r="6" spans="1:23" ht="12.75">
      <c r="A6" s="14"/>
      <c r="B6" s="78">
        <f>'Resultados 1'!A15</f>
        <v>4</v>
      </c>
      <c r="C6" s="79">
        <f>'Resultados 1'!$E$28+'Resultados 1'!$E$29*'Resultados 1'!A15+'Resultados 1'!$E$30*'Resultados 1'!A15^2+'Resultados 1'!$E$31*'Resultados 1'!A15^3</f>
        <v>0.008094133765984108</v>
      </c>
      <c r="D6" s="14"/>
      <c r="E6" s="14"/>
      <c r="F6" s="14"/>
      <c r="G6" s="14"/>
      <c r="H6" s="14"/>
      <c r="I6" s="14"/>
      <c r="J6" s="14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</row>
    <row r="7" spans="1:23" ht="12.75">
      <c r="A7" s="14"/>
      <c r="B7" s="78">
        <f>'Resultados 1'!A16</f>
        <v>6</v>
      </c>
      <c r="C7" s="79">
        <f>'Resultados 1'!$E$28+'Resultados 1'!$E$29*'Resultados 1'!A16+'Resultados 1'!$E$30*'Resultados 1'!A16^2+'Resultados 1'!$E$31*'Resultados 1'!A16^3</f>
        <v>0.012171637900560105</v>
      </c>
      <c r="D7" s="14"/>
      <c r="E7" s="14"/>
      <c r="F7" s="14"/>
      <c r="G7" s="14"/>
      <c r="H7" s="14"/>
      <c r="I7" s="14"/>
      <c r="J7" s="14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</row>
    <row r="8" spans="1:23" ht="12.75">
      <c r="A8" s="14"/>
      <c r="B8" s="78">
        <f>'Resultados 1'!A17</f>
        <v>8</v>
      </c>
      <c r="C8" s="79">
        <f>'Resultados 1'!$E$28+'Resultados 1'!$E$29*'Resultados 1'!A17+'Resultados 1'!$E$30*'Resultados 1'!A17^2+'Resultados 1'!$E$31*'Resultados 1'!A17^3</f>
        <v>0.016249155723288392</v>
      </c>
      <c r="D8" s="14"/>
      <c r="E8" s="14"/>
      <c r="F8" s="14"/>
      <c r="G8" s="14"/>
      <c r="H8" s="14"/>
      <c r="I8" s="14"/>
      <c r="J8" s="14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</row>
    <row r="9" spans="1:23" ht="12.75">
      <c r="A9" s="14"/>
      <c r="B9" s="78">
        <f>'Resultados 1'!A18</f>
        <v>10</v>
      </c>
      <c r="C9" s="79">
        <f>'Resultados 1'!$E$28+'Resultados 1'!$E$29*'Resultados 1'!A18+'Resultados 1'!$E$30*'Resultados 1'!A18^2+'Resultados 1'!$E$31*'Resultados 1'!A18^3</f>
        <v>0.0203266872078162</v>
      </c>
      <c r="D9" s="14"/>
      <c r="E9" s="14"/>
      <c r="F9" s="14"/>
      <c r="G9" s="14"/>
      <c r="H9" s="14"/>
      <c r="I9" s="14"/>
      <c r="J9" s="14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</row>
    <row r="10" spans="1:23" ht="12.75">
      <c r="A10" s="14"/>
      <c r="B10" s="78">
        <f>'Resultados 1'!A19</f>
        <v>12</v>
      </c>
      <c r="C10" s="79">
        <f>'Resultados 1'!$E$28+'Resultados 1'!$E$29*'Resultados 1'!A19+'Resultados 1'!$E$30*'Resultados 1'!A19^2+'Resultados 1'!$E$31*'Resultados 1'!A19^3</f>
        <v>0.02440423232779078</v>
      </c>
      <c r="D10" s="14"/>
      <c r="E10" s="14"/>
      <c r="F10" s="14"/>
      <c r="G10" s="14"/>
      <c r="H10" s="14"/>
      <c r="I10" s="14"/>
      <c r="J10" s="14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</row>
    <row r="11" spans="1:23" ht="12.75">
      <c r="A11" s="14"/>
      <c r="B11" s="78">
        <f>'Resultados 1'!A20</f>
        <v>14</v>
      </c>
      <c r="C11" s="79">
        <f>'Resultados 1'!$E$28+'Resultados 1'!$E$29*'Resultados 1'!A20+'Resultados 1'!$E$30*'Resultados 1'!A20^2+'Resultados 1'!$E$31*'Resultados 1'!A20^3</f>
        <v>0.028481791056859367</v>
      </c>
      <c r="D11" s="14"/>
      <c r="E11" s="14"/>
      <c r="F11" s="14"/>
      <c r="G11" s="14"/>
      <c r="H11" s="14"/>
      <c r="I11" s="14"/>
      <c r="J11" s="14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</row>
    <row r="12" spans="1:23" ht="12.75">
      <c r="A12" s="14"/>
      <c r="B12" s="78">
        <f>'Resultados 1'!A21</f>
        <v>16</v>
      </c>
      <c r="C12" s="79">
        <f>'Resultados 1'!$E$28+'Resultados 1'!$E$29*'Resultados 1'!A21+'Resultados 1'!$E$30*'Resultados 1'!A21^2+'Resultados 1'!$E$31*'Resultados 1'!A21^3</f>
        <v>0.0325593633686692</v>
      </c>
      <c r="D12" s="14"/>
      <c r="E12" s="14"/>
      <c r="F12" s="14"/>
      <c r="G12" s="14"/>
      <c r="H12" s="14"/>
      <c r="I12" s="14"/>
      <c r="J12" s="14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</row>
    <row r="13" spans="1:23" ht="12.75">
      <c r="A13" s="14"/>
      <c r="B13" s="78">
        <f>'Resultados 1'!A22</f>
        <v>18</v>
      </c>
      <c r="C13" s="79">
        <f>'Resultados 1'!$E$28+'Resultados 1'!$E$29*'Resultados 1'!A22+'Resultados 1'!$E$30*'Resultados 1'!A22^2+'Resultados 1'!$E$31*'Resultados 1'!A22^3</f>
        <v>0.036636949236867535</v>
      </c>
      <c r="D13" s="14"/>
      <c r="E13" s="14"/>
      <c r="F13" s="14"/>
      <c r="G13" s="14"/>
      <c r="H13" s="14"/>
      <c r="I13" s="14"/>
      <c r="J13" s="14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</row>
    <row r="14" spans="1:23" ht="12.75">
      <c r="A14" s="14"/>
      <c r="B14" s="78">
        <f>'Resultados 1'!A23</f>
        <v>20</v>
      </c>
      <c r="C14" s="79">
        <f>'Resultados 1'!$E$28+'Resultados 1'!$E$29*'Resultados 1'!A23+'Resultados 1'!$E$30*'Resultados 1'!A23^2+'Resultados 1'!$E$31*'Resultados 1'!A23^3</f>
        <v>0.040714548635101606</v>
      </c>
      <c r="D14" s="14"/>
      <c r="E14" s="14"/>
      <c r="F14" s="14"/>
      <c r="G14" s="14"/>
      <c r="H14" s="14"/>
      <c r="I14" s="14"/>
      <c r="J14" s="14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</row>
    <row r="15" spans="1:23" ht="12.75">
      <c r="A15" s="14"/>
      <c r="B15" s="14"/>
      <c r="C15" s="14"/>
      <c r="D15" s="14"/>
      <c r="E15" s="14"/>
      <c r="F15" s="14"/>
      <c r="G15" s="14"/>
      <c r="H15" s="14"/>
      <c r="I15" s="14"/>
      <c r="J15" s="14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</row>
    <row r="16" spans="1:23" ht="16.5" thickBot="1">
      <c r="A16" s="14"/>
      <c r="B16" s="21" t="s">
        <v>128</v>
      </c>
      <c r="C16" s="14"/>
      <c r="D16" s="14"/>
      <c r="E16" s="14"/>
      <c r="F16" s="148"/>
      <c r="G16" s="14"/>
      <c r="H16" s="14"/>
      <c r="I16" s="14"/>
      <c r="J16" s="14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</row>
    <row r="17" spans="1:23" ht="12.75">
      <c r="A17" s="14"/>
      <c r="B17" s="185"/>
      <c r="C17" s="185"/>
      <c r="D17" s="157"/>
      <c r="E17" s="157"/>
      <c r="F17" s="157"/>
      <c r="G17" s="186"/>
      <c r="H17" s="158" t="s">
        <v>132</v>
      </c>
      <c r="I17" s="158" t="s">
        <v>133</v>
      </c>
      <c r="J17" s="14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</row>
    <row r="18" spans="1:23" ht="31.5" customHeight="1" thickBot="1">
      <c r="A18" s="14"/>
      <c r="B18" s="161"/>
      <c r="C18" s="187" t="s">
        <v>134</v>
      </c>
      <c r="D18" s="160"/>
      <c r="E18" s="160"/>
      <c r="F18" s="160"/>
      <c r="G18" s="188"/>
      <c r="H18" s="162" t="s">
        <v>135</v>
      </c>
      <c r="I18" s="162" t="s">
        <v>136</v>
      </c>
      <c r="J18" s="14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</row>
    <row r="19" spans="1:23" ht="12.75">
      <c r="A19" s="14"/>
      <c r="B19" s="163"/>
      <c r="C19" s="243" t="s">
        <v>137</v>
      </c>
      <c r="D19" s="243"/>
      <c r="E19" s="164" t="s">
        <v>103</v>
      </c>
      <c r="F19" s="165"/>
      <c r="G19" s="164" t="s">
        <v>103</v>
      </c>
      <c r="H19" s="166" t="s">
        <v>47</v>
      </c>
      <c r="I19" s="167" t="s">
        <v>138</v>
      </c>
      <c r="J19" s="14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</row>
    <row r="20" spans="1:23" ht="15.75">
      <c r="A20" s="14"/>
      <c r="B20" s="159" t="s">
        <v>129</v>
      </c>
      <c r="C20" s="244" t="s">
        <v>139</v>
      </c>
      <c r="D20" s="245"/>
      <c r="E20" s="164" t="s">
        <v>140</v>
      </c>
      <c r="F20" s="164" t="s">
        <v>141</v>
      </c>
      <c r="G20" s="170" t="s">
        <v>142</v>
      </c>
      <c r="H20" s="171" t="s">
        <v>143</v>
      </c>
      <c r="I20" s="172" t="s">
        <v>144</v>
      </c>
      <c r="J20" s="14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</row>
    <row r="21" spans="1:23" ht="16.5" thickBot="1">
      <c r="A21" s="14"/>
      <c r="B21" s="163"/>
      <c r="C21" s="168" t="s">
        <v>119</v>
      </c>
      <c r="D21" s="169" t="s">
        <v>120</v>
      </c>
      <c r="E21" s="168" t="s">
        <v>145</v>
      </c>
      <c r="F21" s="168" t="s">
        <v>146</v>
      </c>
      <c r="G21" s="168" t="s">
        <v>121</v>
      </c>
      <c r="H21" s="173"/>
      <c r="I21" s="172" t="s">
        <v>147</v>
      </c>
      <c r="J21" s="14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</row>
    <row r="22" spans="1:23" ht="18.75">
      <c r="A22" s="14"/>
      <c r="B22" s="174">
        <v>0</v>
      </c>
      <c r="C22" s="175">
        <v>0.05</v>
      </c>
      <c r="D22" s="175">
        <v>0.025</v>
      </c>
      <c r="E22" s="175" t="s">
        <v>148</v>
      </c>
      <c r="F22" s="175" t="s">
        <v>149</v>
      </c>
      <c r="G22" s="176">
        <v>0.07</v>
      </c>
      <c r="H22" s="177">
        <v>0.01</v>
      </c>
      <c r="I22" s="178" t="s">
        <v>150</v>
      </c>
      <c r="J22" s="14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</row>
    <row r="23" spans="1:23" ht="14.25">
      <c r="A23" s="14"/>
      <c r="B23" s="179">
        <v>0.5</v>
      </c>
      <c r="C23" s="175">
        <v>0.1</v>
      </c>
      <c r="D23" s="175">
        <v>0.05</v>
      </c>
      <c r="E23" s="175" t="s">
        <v>151</v>
      </c>
      <c r="F23" s="175" t="s">
        <v>148</v>
      </c>
      <c r="G23" s="176">
        <v>0.15</v>
      </c>
      <c r="H23" s="174">
        <v>0.02</v>
      </c>
      <c r="I23" s="178" t="s">
        <v>116</v>
      </c>
      <c r="J23" s="14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</row>
    <row r="24" spans="1:23" ht="14.25">
      <c r="A24" s="14"/>
      <c r="B24" s="179">
        <v>1</v>
      </c>
      <c r="C24" s="175">
        <v>0.2</v>
      </c>
      <c r="D24" s="175">
        <v>0.1</v>
      </c>
      <c r="E24" s="175" t="s">
        <v>152</v>
      </c>
      <c r="F24" s="175" t="s">
        <v>151</v>
      </c>
      <c r="G24" s="176">
        <v>0.3</v>
      </c>
      <c r="H24" s="174">
        <v>0.05</v>
      </c>
      <c r="I24" s="178" t="s">
        <v>117</v>
      </c>
      <c r="J24" s="14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</row>
    <row r="25" spans="1:23" ht="15" thickBot="1">
      <c r="A25" s="14"/>
      <c r="B25" s="180">
        <v>2</v>
      </c>
      <c r="C25" s="181">
        <v>0.4</v>
      </c>
      <c r="D25" s="181">
        <v>0.2</v>
      </c>
      <c r="E25" s="181" t="s">
        <v>153</v>
      </c>
      <c r="F25" s="181" t="s">
        <v>154</v>
      </c>
      <c r="G25" s="182">
        <v>0.5</v>
      </c>
      <c r="H25" s="183">
        <v>0.1</v>
      </c>
      <c r="I25" s="184" t="s">
        <v>118</v>
      </c>
      <c r="J25" s="14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</row>
    <row r="26" spans="1:29" ht="12.75">
      <c r="A26" s="14"/>
      <c r="B26" s="14"/>
      <c r="C26" s="14"/>
      <c r="D26" s="14"/>
      <c r="E26" s="14"/>
      <c r="F26" s="14"/>
      <c r="G26" s="14"/>
      <c r="H26" s="14"/>
      <c r="I26" s="14"/>
      <c r="J26" s="14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14"/>
      <c r="Y26" s="14"/>
      <c r="Z26" s="14"/>
      <c r="AA26" s="14"/>
      <c r="AB26" s="14"/>
      <c r="AC26" s="14"/>
    </row>
    <row r="27" spans="1:29" ht="12.7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14"/>
      <c r="Y27" s="14"/>
      <c r="Z27" s="14"/>
      <c r="AA27" s="14"/>
      <c r="AB27" s="14"/>
      <c r="AC27" s="14"/>
    </row>
    <row r="28" spans="1:29" ht="12.7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14"/>
      <c r="Y28" s="14"/>
      <c r="Z28" s="14"/>
      <c r="AA28" s="14"/>
      <c r="AB28" s="14"/>
      <c r="AC28" s="14"/>
    </row>
    <row r="29" spans="1:29" ht="12.7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14"/>
      <c r="Y29" s="14"/>
      <c r="Z29" s="14"/>
      <c r="AA29" s="14"/>
      <c r="AB29" s="14"/>
      <c r="AC29" s="14"/>
    </row>
    <row r="30" spans="1:23" ht="12.7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</row>
    <row r="31" spans="1:23" ht="12.7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</row>
    <row r="32" spans="1:23" ht="12.7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</row>
    <row r="33" spans="1:23" ht="12.7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</row>
    <row r="34" spans="1:23" ht="12.7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</row>
    <row r="35" spans="1:23" ht="12.7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</row>
    <row r="36" spans="1:23" ht="12.7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</row>
    <row r="37" spans="1:23" ht="12.7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</row>
    <row r="38" spans="1:23" ht="12.7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</row>
    <row r="39" spans="1:23" ht="12.7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</row>
    <row r="40" spans="1:23" ht="12.7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</row>
    <row r="41" spans="1:23" ht="12.7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</row>
    <row r="42" spans="1:23" ht="12.7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</row>
    <row r="43" spans="1:23" ht="12.7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</row>
    <row r="44" spans="1:23" ht="12.7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</row>
    <row r="45" spans="1:23" ht="12.7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</row>
    <row r="46" spans="1:23" ht="12.7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</row>
    <row r="47" spans="1:23" ht="12.7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</row>
  </sheetData>
  <mergeCells count="2">
    <mergeCell ref="C19:D19"/>
    <mergeCell ref="C20:D20"/>
  </mergeCells>
  <printOptions/>
  <pageMargins left="0.75" right="0.75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Empresa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MicroTest</dc:creator>
  <cp:keywords/>
  <dc:description/>
  <cp:lastModifiedBy>Peri</cp:lastModifiedBy>
  <cp:lastPrinted>2003-04-10T09:48:51Z</cp:lastPrinted>
  <dcterms:created xsi:type="dcterms:W3CDTF">2000-10-06T16:15:34Z</dcterms:created>
  <dcterms:modified xsi:type="dcterms:W3CDTF">2003-09-28T19:13:27Z</dcterms:modified>
  <cp:category/>
  <cp:version/>
  <cp:contentType/>
  <cp:contentStatus/>
</cp:coreProperties>
</file>