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146" yWindow="120" windowWidth="12120" windowHeight="9120" tabRatio="601" activeTab="4"/>
  </bookViews>
  <sheets>
    <sheet name="Toma datos" sheetId="1" r:id="rId1"/>
    <sheet name="Toma datos 1" sheetId="2" r:id="rId2"/>
    <sheet name="incertidumbres" sheetId="3" r:id="rId3"/>
    <sheet name="Resultado" sheetId="4" r:id="rId4"/>
    <sheet name="Auxiliar" sheetId="5" r:id="rId5"/>
  </sheets>
  <definedNames>
    <definedName name="CargaMaximaTransCal">'Toma datos'!#REF!</definedName>
    <definedName name="CargaMaximaTransPat">'Toma datos'!#REF!</definedName>
    <definedName name="Certificado">'Toma datos'!#REF!</definedName>
    <definedName name="FechaCalibracion">'Toma datos'!#REF!</definedName>
    <definedName name="Instrumento">'Toma datos'!#REF!</definedName>
    <definedName name="MarcaIndCal">'Toma datos'!$G$13</definedName>
    <definedName name="MarcaIndPat">'Toma datos'!#REF!</definedName>
    <definedName name="MarcaTransCal">'Toma datos'!$C$13</definedName>
    <definedName name="MarcaTransPat">'Toma datos'!#REF!</definedName>
    <definedName name="ModeloIndCal">'Toma datos'!$G$14</definedName>
    <definedName name="ModeloIndPat">'Toma datos'!#REF!</definedName>
    <definedName name="ModeloTransCal">'Toma datos'!$C$14</definedName>
    <definedName name="ModeloTransPat">'Toma datos'!#REF!</definedName>
    <definedName name="NormaCalibracion">'Toma datos'!#REF!</definedName>
    <definedName name="Peticionario">'Toma datos'!#REF!</definedName>
    <definedName name="SerieIndCal">'Toma datos'!#REF!</definedName>
    <definedName name="SerieIndPatron">'Toma datos'!#REF!</definedName>
    <definedName name="SerieTransCal">'Toma datos'!#REF!</definedName>
    <definedName name="SerieTransPat">'Toma datos'!#REF!</definedName>
    <definedName name="Tecnico">'Toma datos'!#REF!</definedName>
    <definedName name="Temperatura">'Toma datos'!$D$49</definedName>
    <definedName name="TipoCalibracion">'Toma datos'!#REF!</definedName>
    <definedName name="UniCargaMaximaTransCal">'Toma datos'!#REF!</definedName>
  </definedNames>
  <calcPr fullCalcOnLoad="1"/>
</workbook>
</file>

<file path=xl/sharedStrings.xml><?xml version="1.0" encoding="utf-8"?>
<sst xmlns="http://schemas.openxmlformats.org/spreadsheetml/2006/main" count="180" uniqueCount="166">
  <si>
    <t>SERIE 1</t>
  </si>
  <si>
    <t>SERIE 2</t>
  </si>
  <si>
    <t>SERIE 3</t>
  </si>
  <si>
    <t>Marca:</t>
  </si>
  <si>
    <t>Modelo:</t>
  </si>
  <si>
    <t>Accesorios de aplic. Carga:</t>
  </si>
  <si>
    <t>Condic. Ambientales:</t>
  </si>
  <si>
    <t>Inicio</t>
  </si>
  <si>
    <t>Final:</t>
  </si>
  <si>
    <t>Observaciones:</t>
  </si>
  <si>
    <t>de clase metrológica:</t>
  </si>
  <si>
    <t>Instrumento Patrón utilizado:</t>
  </si>
  <si>
    <t>20% final de escala:</t>
  </si>
  <si>
    <t>Límite inferior de calibración(Fv):</t>
  </si>
  <si>
    <t>Transductor Patrón con número de control:</t>
  </si>
  <si>
    <t>Error rel de exactitud (q%):</t>
  </si>
  <si>
    <t>Error rel. de repetibilidad (b %):</t>
  </si>
  <si>
    <t>Características del Mensurando:</t>
  </si>
  <si>
    <t>Equipo utilizado (equipo de calibración):</t>
  </si>
  <si>
    <t>Método:</t>
  </si>
  <si>
    <t>Condiciones del ensayo:</t>
  </si>
  <si>
    <t>Temperatura de la sala:</t>
  </si>
  <si>
    <t>Resultados de la verificación:</t>
  </si>
  <si>
    <t>de</t>
  </si>
  <si>
    <t>Se ha sometido a la máquina  a un proceso previo de eliminación de pereza con una serie de  tres precargas</t>
  </si>
  <si>
    <t>hasta el valor máximo de la escala, con el equipo de calibración de carga montado. Previamente a los ensayos</t>
  </si>
  <si>
    <t>se mantuvo el equipo de calibración de carga en el laboratorio del cliente el tiempo necesario  atemperándose</t>
  </si>
  <si>
    <t xml:space="preserve">       El método utilizado para la verificación ha sido el de:</t>
  </si>
  <si>
    <t>Ensayo para el primer sistema de medida</t>
  </si>
  <si>
    <t>calibración realizada a:</t>
  </si>
  <si>
    <t>KN</t>
  </si>
  <si>
    <t>Método empleado:</t>
  </si>
  <si>
    <t>Alcance máximo de la escala</t>
  </si>
  <si>
    <t>Carga real</t>
  </si>
  <si>
    <t>Carga indicada</t>
  </si>
  <si>
    <t>Clase de Máquina</t>
  </si>
  <si>
    <r>
      <t>Error relativo de cero  f</t>
    </r>
    <r>
      <rPr>
        <b/>
        <vertAlign val="subscript"/>
        <sz val="10"/>
        <rFont val="Times New Roman"/>
        <family val="1"/>
      </rPr>
      <t>0</t>
    </r>
    <r>
      <rPr>
        <b/>
        <sz val="10"/>
        <rFont val="Times New Roman"/>
        <family val="1"/>
      </rPr>
      <t>%</t>
    </r>
    <r>
      <rPr>
        <b/>
        <vertAlign val="superscript"/>
        <sz val="10"/>
        <rFont val="Times New Roman"/>
        <family val="1"/>
      </rPr>
      <t>2)</t>
    </r>
  </si>
  <si>
    <r>
      <t>±</t>
    </r>
    <r>
      <rPr>
        <sz val="12"/>
        <rFont val="Times New Roman"/>
        <family val="1"/>
      </rPr>
      <t>0,5</t>
    </r>
  </si>
  <si>
    <r>
      <t>±</t>
    </r>
    <r>
      <rPr>
        <sz val="12"/>
        <rFont val="Times New Roman"/>
        <family val="1"/>
      </rPr>
      <t>0,75</t>
    </r>
  </si>
  <si>
    <r>
      <t>±</t>
    </r>
    <r>
      <rPr>
        <sz val="12"/>
        <rFont val="Times New Roman"/>
        <family val="1"/>
      </rPr>
      <t>0,05</t>
    </r>
  </si>
  <si>
    <r>
      <t>±</t>
    </r>
    <r>
      <rPr>
        <sz val="12"/>
        <rFont val="Times New Roman"/>
        <family val="1"/>
      </rPr>
      <t>1,0</t>
    </r>
  </si>
  <si>
    <r>
      <t>±</t>
    </r>
    <r>
      <rPr>
        <sz val="12"/>
        <rFont val="Times New Roman"/>
        <family val="1"/>
      </rPr>
      <t>1,5</t>
    </r>
  </si>
  <si>
    <r>
      <t>±</t>
    </r>
    <r>
      <rPr>
        <sz val="12"/>
        <rFont val="Times New Roman"/>
        <family val="1"/>
      </rPr>
      <t>0,1</t>
    </r>
  </si>
  <si>
    <r>
      <t>±</t>
    </r>
    <r>
      <rPr>
        <sz val="12"/>
        <rFont val="Times New Roman"/>
        <family val="1"/>
      </rPr>
      <t>2,0</t>
    </r>
  </si>
  <si>
    <r>
      <t>±</t>
    </r>
    <r>
      <rPr>
        <sz val="12"/>
        <rFont val="Times New Roman"/>
        <family val="1"/>
      </rPr>
      <t>3</t>
    </r>
  </si>
  <si>
    <r>
      <t>±</t>
    </r>
    <r>
      <rPr>
        <sz val="12"/>
        <rFont val="Times New Roman"/>
        <family val="1"/>
      </rPr>
      <t>0,2</t>
    </r>
  </si>
  <si>
    <r>
      <t>±</t>
    </r>
    <r>
      <rPr>
        <sz val="12"/>
        <rFont val="Times New Roman"/>
        <family val="1"/>
      </rPr>
      <t>3,0</t>
    </r>
  </si>
  <si>
    <r>
      <t>±</t>
    </r>
    <r>
      <rPr>
        <sz val="12"/>
        <rFont val="Times New Roman"/>
        <family val="1"/>
      </rPr>
      <t>4,5</t>
    </r>
  </si>
  <si>
    <r>
      <t>±</t>
    </r>
    <r>
      <rPr>
        <sz val="12"/>
        <rFont val="Times New Roman"/>
        <family val="1"/>
      </rPr>
      <t>0,3</t>
    </r>
  </si>
  <si>
    <t>2) Los porcentajes tabulados son los valores máximos permitidos para las clases de máquinas relacionadas.</t>
  </si>
  <si>
    <t>Según ISO 7500-1</t>
  </si>
  <si>
    <t xml:space="preserve">Inc. Tip. rel.  wb(%) </t>
  </si>
  <si>
    <t xml:space="preserve">Inc. Tip. rel.  Wresol(%) </t>
  </si>
  <si>
    <r>
      <t>w</t>
    </r>
    <r>
      <rPr>
        <b/>
        <vertAlign val="subscript"/>
        <sz val="12"/>
        <rFont val="Times New Roman"/>
        <family val="1"/>
      </rPr>
      <t>der-temp (%)</t>
    </r>
  </si>
  <si>
    <t>Incertidumbre típica combinada relativa (%)</t>
  </si>
  <si>
    <t>Factor de cobertura k=2</t>
  </si>
  <si>
    <t>Incertidumbre relativa expandida (%)</t>
  </si>
  <si>
    <t>Temperatura media durante el ensayo</t>
  </si>
  <si>
    <t>∆T=</t>
  </si>
  <si>
    <t>ºC</t>
  </si>
  <si>
    <t>%</t>
  </si>
  <si>
    <r>
      <t>w</t>
    </r>
    <r>
      <rPr>
        <b/>
        <vertAlign val="subscript"/>
        <sz val="12"/>
        <rFont val="Times New Roman"/>
        <family val="1"/>
      </rPr>
      <t>v</t>
    </r>
    <r>
      <rPr>
        <b/>
        <sz val="12"/>
        <rFont val="Times New Roman"/>
        <family val="1"/>
      </rPr>
      <t>(%)</t>
    </r>
  </si>
  <si>
    <r>
      <t>wf</t>
    </r>
    <r>
      <rPr>
        <b/>
        <vertAlign val="subscript"/>
        <sz val="12"/>
        <rFont val="Times New Roman"/>
        <family val="1"/>
      </rPr>
      <t>0</t>
    </r>
    <r>
      <rPr>
        <b/>
        <sz val="12"/>
        <rFont val="Times New Roman"/>
        <family val="1"/>
      </rPr>
      <t>(%)</t>
    </r>
  </si>
  <si>
    <t>Dispone de accesorios mecánicos:</t>
  </si>
  <si>
    <t>si</t>
  </si>
  <si>
    <t>no</t>
  </si>
  <si>
    <t>registrador</t>
  </si>
  <si>
    <t>Nº de serie:</t>
  </si>
  <si>
    <t>Capacidad Nominal:</t>
  </si>
  <si>
    <r>
      <t>Indicador/es Asociado/s</t>
    </r>
    <r>
      <rPr>
        <sz val="10"/>
        <rFont val="Times New Roman"/>
        <family val="1"/>
      </rPr>
      <t>:</t>
    </r>
  </si>
  <si>
    <t xml:space="preserve">Tipo </t>
  </si>
  <si>
    <t>E00042F1/5</t>
  </si>
  <si>
    <t>E00042F2/5</t>
  </si>
  <si>
    <t>E00042F3/5</t>
  </si>
  <si>
    <t>E00042F4/5</t>
  </si>
  <si>
    <t>E00042F5/5</t>
  </si>
  <si>
    <t>Principio de escala</t>
  </si>
  <si>
    <t>Final de escala</t>
  </si>
  <si>
    <t>Resolución</t>
  </si>
  <si>
    <t>Unidades</t>
  </si>
  <si>
    <t>Escala 1</t>
  </si>
  <si>
    <t>Una escala</t>
  </si>
  <si>
    <t>Varias escalas</t>
  </si>
  <si>
    <t>Cambio de escala automático</t>
  </si>
  <si>
    <t xml:space="preserve">Indicador con nº de control: </t>
  </si>
  <si>
    <t>Tracción</t>
  </si>
  <si>
    <t>Compresión</t>
  </si>
  <si>
    <t>clase de máquina</t>
  </si>
  <si>
    <t>n</t>
  </si>
  <si>
    <t>Expediente:</t>
  </si>
  <si>
    <t>Nº de Objeto de Ensayo:</t>
  </si>
  <si>
    <t>Solicitante:</t>
  </si>
  <si>
    <t>Dirección:</t>
  </si>
  <si>
    <t>Localidad:</t>
  </si>
  <si>
    <t>Provincia:</t>
  </si>
  <si>
    <t>CP:</t>
  </si>
  <si>
    <t>Calibración realizada por:</t>
  </si>
  <si>
    <t>Cargo:</t>
  </si>
  <si>
    <t>Mín. valor verificable</t>
  </si>
  <si>
    <t>Selección de puntos</t>
  </si>
  <si>
    <t>e28</t>
  </si>
  <si>
    <t>agujas de máxima</t>
  </si>
  <si>
    <t>1 rango</t>
  </si>
  <si>
    <t>2 rango</t>
  </si>
  <si>
    <t>3 rango</t>
  </si>
  <si>
    <t>4 rango</t>
  </si>
  <si>
    <t>Instrumento:</t>
  </si>
  <si>
    <t>No consta</t>
  </si>
  <si>
    <t>Kgf</t>
  </si>
  <si>
    <t>Aceleración de la gravedad Local</t>
  </si>
  <si>
    <t>Tnf</t>
  </si>
  <si>
    <t xml:space="preserve">Temperatura de referencia </t>
  </si>
  <si>
    <t>(certificado de calibración)</t>
  </si>
  <si>
    <t>Nº de sistemas de medida:</t>
  </si>
  <si>
    <t>Ubicación del instrumento:</t>
  </si>
  <si>
    <t>analógico</t>
  </si>
  <si>
    <t>digital</t>
  </si>
  <si>
    <t>Nº de escalas:</t>
  </si>
  <si>
    <t>Otra</t>
  </si>
  <si>
    <t>Resolución en (KN)</t>
  </si>
  <si>
    <t>Principio de escala (KN)</t>
  </si>
  <si>
    <t>Final de escala (KN)</t>
  </si>
  <si>
    <t>Clase de la escala:</t>
  </si>
  <si>
    <r>
      <t>error relativo de cero   (f</t>
    </r>
    <r>
      <rPr>
        <b/>
        <vertAlign val="subscript"/>
        <sz val="10"/>
        <rFont val="Arial"/>
        <family val="2"/>
      </rPr>
      <t>0</t>
    </r>
    <r>
      <rPr>
        <b/>
        <sz val="10"/>
        <rFont val="Arial"/>
        <family val="2"/>
      </rPr>
      <t>%):</t>
    </r>
  </si>
  <si>
    <t>N</t>
  </si>
  <si>
    <t>q (%)</t>
  </si>
  <si>
    <t>b (%)</t>
  </si>
  <si>
    <t>Lectura</t>
  </si>
  <si>
    <t>Deformacion</t>
  </si>
  <si>
    <t>Deform</t>
  </si>
  <si>
    <t>SI LA CARGA REAL SE HA REALIZADO EN mV/V INDIQUE LAS LECTURAS</t>
  </si>
  <si>
    <t xml:space="preserve">Lectura </t>
  </si>
  <si>
    <t>convierta a KN mediante el polinomio correspondiente</t>
  </si>
  <si>
    <t>en función del patrón</t>
  </si>
  <si>
    <t>accesorios mecánicos</t>
  </si>
  <si>
    <t>tipo:</t>
  </si>
  <si>
    <t>tipo de indicador</t>
  </si>
  <si>
    <t>MÉTODO DE CALIBRACIÓN</t>
  </si>
  <si>
    <t>UNIDADES</t>
  </si>
  <si>
    <t>w(%)    equipo de calibrac.</t>
  </si>
  <si>
    <r>
      <t xml:space="preserve">Error relativo de exactitud              q % </t>
    </r>
    <r>
      <rPr>
        <b/>
        <vertAlign val="superscript"/>
        <sz val="10"/>
        <rFont val="Times New Roman"/>
        <family val="1"/>
      </rPr>
      <t>2)</t>
    </r>
  </si>
  <si>
    <r>
      <t>Error relativo de repetibilidad                 b  %</t>
    </r>
    <r>
      <rPr>
        <b/>
        <vertAlign val="superscript"/>
        <sz val="10"/>
        <rFont val="Times New Roman"/>
        <family val="1"/>
      </rPr>
      <t>2)</t>
    </r>
  </si>
  <si>
    <r>
      <t>Error relativo de reversibilidad   v  %</t>
    </r>
    <r>
      <rPr>
        <b/>
        <vertAlign val="superscript"/>
        <sz val="10"/>
        <rFont val="Times New Roman"/>
        <family val="1"/>
      </rPr>
      <t>2)</t>
    </r>
  </si>
  <si>
    <r>
      <t>Resolución de la máquina         a %</t>
    </r>
    <r>
      <rPr>
        <b/>
        <vertAlign val="superscript"/>
        <sz val="10"/>
        <rFont val="Times New Roman"/>
        <family val="1"/>
      </rPr>
      <t>2)</t>
    </r>
  </si>
  <si>
    <t>Para poder calcular el error de cero automáticamente</t>
  </si>
  <si>
    <t>Para poder calcular los puntos de calibración automáticamente</t>
  </si>
  <si>
    <t xml:space="preserve">Para detectar si hay al menos 2 puntos de calibración </t>
  </si>
  <si>
    <t>por cada cambio de escala</t>
  </si>
  <si>
    <t>a  (%)</t>
  </si>
  <si>
    <t>clase 1</t>
  </si>
  <si>
    <t>clase 2</t>
  </si>
  <si>
    <t>clase 3</t>
  </si>
  <si>
    <t>clase 0,5</t>
  </si>
  <si>
    <t>00F001</t>
  </si>
  <si>
    <t>XXXXXX S.A.</t>
  </si>
  <si>
    <t xml:space="preserve">Pol. Ind. XXXXXXXXXXXX C/ XXXXXXXXXX, 38 </t>
  </si>
  <si>
    <t>ÉCIJA</t>
  </si>
  <si>
    <t>SEVILLA</t>
  </si>
  <si>
    <t xml:space="preserve">Máquina de ensayos de materiales plásticos (tracción) </t>
  </si>
  <si>
    <t>HOUNSFIELD</t>
  </si>
  <si>
    <t>XXXXXXX</t>
  </si>
  <si>
    <t>XXXXXX</t>
  </si>
  <si>
    <t>La calibración se llevó a cabo en las instalaciones de XXXXXX</t>
  </si>
  <si>
    <t>según  ISO 7500-1</t>
  </si>
  <si>
    <t xml:space="preserve">Calibración de un sistema de medida de carga de máquina de ensayo de materiales uniaxial </t>
  </si>
  <si>
    <t>SI('Toma datos 1'!I13&lt;&gt;"";REDONDEAR('Toma datos 1'!I13;LARGO(DERECHA('Toma datos'!$F$26;LARGO('Toma datos'!$F$26)-ENCONTRAR(",";'Toma datos'!$F$26))));"")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</si>
</sst>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00000"/>
    <numFmt numFmtId="175" formatCode="&quot;Sí&quot;;&quot;Sí&quot;;&quot;No&quot;"/>
    <numFmt numFmtId="176" formatCode="&quot;Verdadero&quot;;&quot;Verdadero&quot;;&quot;Falso&quot;"/>
    <numFmt numFmtId="177" formatCode="&quot;Activado&quot;;&quot;Activado&quot;;&quot;Desactivado&quot;"/>
    <numFmt numFmtId="178" formatCode="0.000"/>
    <numFmt numFmtId="179" formatCode="0.000000"/>
    <numFmt numFmtId="180" formatCode="0.0000000"/>
    <numFmt numFmtId="181" formatCode="0.0"/>
    <numFmt numFmtId="182" formatCode="00000"/>
    <numFmt numFmtId="183" formatCode="0.00000000"/>
    <numFmt numFmtId="184" formatCode="0.000000000"/>
    <numFmt numFmtId="185" formatCode="0.0000000000"/>
    <numFmt numFmtId="186" formatCode="0.0000"/>
    <numFmt numFmtId="187" formatCode="_-* #,##0.0\ _P_t_a_-;\-* #,##0.0\ _P_t_a_-;_-* &quot;-&quot;\ _P_t_a_-;_-@_-"/>
    <numFmt numFmtId="188" formatCode="_-* #,##0.00\ _P_t_a_-;\-* #,##0.00\ _P_t_a_-;_-* &quot;-&quot;\ _P_t_a_-;_-@_-"/>
  </numFmts>
  <fonts count="37">
    <font>
      <sz val="10"/>
      <name val="Arial"/>
      <family val="0"/>
    </font>
    <font>
      <b/>
      <sz val="10"/>
      <name val="Arial"/>
      <family val="2"/>
    </font>
    <font>
      <u val="single"/>
      <sz val="10"/>
      <color indexed="12"/>
      <name val="Arial"/>
      <family val="0"/>
    </font>
    <font>
      <u val="single"/>
      <sz val="10"/>
      <color indexed="36"/>
      <name val="Arial"/>
      <family val="0"/>
    </font>
    <font>
      <b/>
      <sz val="10"/>
      <name val="Times New Roman"/>
      <family val="1"/>
    </font>
    <font>
      <sz val="10"/>
      <name val="Times New Roman"/>
      <family val="1"/>
    </font>
    <font>
      <sz val="9"/>
      <name val="Times New Roman"/>
      <family val="1"/>
    </font>
    <font>
      <i/>
      <sz val="10"/>
      <name val="Times New Roman"/>
      <family val="1"/>
    </font>
    <font>
      <sz val="12"/>
      <name val="Times New Roman"/>
      <family val="1"/>
    </font>
    <font>
      <b/>
      <sz val="12"/>
      <name val="Times New Roman"/>
      <family val="1"/>
    </font>
    <font>
      <b/>
      <sz val="9"/>
      <name val="Times New Roman"/>
      <family val="1"/>
    </font>
    <font>
      <b/>
      <sz val="13"/>
      <name val="Times New Roman"/>
      <family val="1"/>
    </font>
    <font>
      <b/>
      <u val="single"/>
      <sz val="10"/>
      <name val="Arial"/>
      <family val="2"/>
    </font>
    <font>
      <b/>
      <sz val="16"/>
      <name val="Arial"/>
      <family val="2"/>
    </font>
    <font>
      <sz val="8"/>
      <name val="Tahoma"/>
      <family val="2"/>
    </font>
    <font>
      <b/>
      <vertAlign val="superscript"/>
      <sz val="10"/>
      <name val="Times New Roman"/>
      <family val="1"/>
    </font>
    <font>
      <b/>
      <vertAlign val="subscript"/>
      <sz val="10"/>
      <name val="Times New Roman"/>
      <family val="1"/>
    </font>
    <font>
      <sz val="12"/>
      <name val="Symbol"/>
      <family val="1"/>
    </font>
    <font>
      <b/>
      <sz val="12"/>
      <name val="Arial"/>
      <family val="0"/>
    </font>
    <font>
      <b/>
      <vertAlign val="subscript"/>
      <sz val="12"/>
      <name val="Times New Roman"/>
      <family val="1"/>
    </font>
    <font>
      <b/>
      <u val="single"/>
      <sz val="12"/>
      <name val="Times New Roman"/>
      <family val="1"/>
    </font>
    <font>
      <b/>
      <sz val="11"/>
      <name val="Times New Roman"/>
      <family val="1"/>
    </font>
    <font>
      <i/>
      <sz val="12"/>
      <name val="Times New Roman"/>
      <family val="1"/>
    </font>
    <font>
      <sz val="8"/>
      <name val="Times New Roman"/>
      <family val="1"/>
    </font>
    <font>
      <i/>
      <sz val="8"/>
      <name val="Times New Roman"/>
      <family val="1"/>
    </font>
    <font>
      <sz val="10"/>
      <color indexed="10"/>
      <name val="Arial"/>
      <family val="2"/>
    </font>
    <font>
      <u val="double"/>
      <sz val="10"/>
      <color indexed="10"/>
      <name val="Arial"/>
      <family val="2"/>
    </font>
    <font>
      <sz val="10"/>
      <color indexed="47"/>
      <name val="Arial"/>
      <family val="2"/>
    </font>
    <font>
      <sz val="10"/>
      <color indexed="47"/>
      <name val="Times New Roman"/>
      <family val="1"/>
    </font>
    <font>
      <b/>
      <sz val="10"/>
      <color indexed="47"/>
      <name val="Arial"/>
      <family val="2"/>
    </font>
    <font>
      <b/>
      <i/>
      <sz val="10"/>
      <name val="Times New Roman"/>
      <family val="1"/>
    </font>
    <font>
      <sz val="12"/>
      <name val="Arial Black"/>
      <family val="2"/>
    </font>
    <font>
      <b/>
      <i/>
      <sz val="12"/>
      <color indexed="10"/>
      <name val="Times New Roman"/>
      <family val="1"/>
    </font>
    <font>
      <sz val="8"/>
      <name val="Arial"/>
      <family val="2"/>
    </font>
    <font>
      <b/>
      <vertAlign val="subscript"/>
      <sz val="10"/>
      <name val="Arial"/>
      <family val="2"/>
    </font>
    <font>
      <sz val="10"/>
      <color indexed="43"/>
      <name val="Arial"/>
      <family val="2"/>
    </font>
    <font>
      <b/>
      <sz val="9"/>
      <name val="Arial"/>
      <family val="2"/>
    </font>
  </fonts>
  <fills count="10">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s>
  <borders count="49">
    <border>
      <left/>
      <right/>
      <top/>
      <bottom/>
      <diagonal/>
    </border>
    <border>
      <left>
        <color indexed="63"/>
      </left>
      <right style="medium"/>
      <top style="medium"/>
      <bottom style="thin"/>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medium"/>
      <right style="medium"/>
      <top style="medium"/>
      <bottom style="medium"/>
    </border>
    <border>
      <left style="thin"/>
      <right style="thin"/>
      <top style="medium"/>
      <bottom style="thin"/>
    </border>
    <border>
      <left style="thin"/>
      <right style="thin"/>
      <top style="thin"/>
      <bottom style="thin"/>
    </border>
    <border>
      <left style="medium"/>
      <right style="medium"/>
      <top style="medium"/>
      <bottom>
        <color indexed="63"/>
      </bottom>
    </border>
    <border>
      <left style="thin"/>
      <right style="medium"/>
      <top style="medium"/>
      <bottom style="thin"/>
    </border>
    <border>
      <left style="thin"/>
      <right>
        <color indexed="63"/>
      </right>
      <top style="thin"/>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color indexed="63"/>
      </bottom>
    </border>
    <border>
      <left>
        <color indexed="63"/>
      </left>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style="thin"/>
      <bottom>
        <color indexed="63"/>
      </bottom>
    </border>
    <border>
      <left style="medium"/>
      <right style="thin"/>
      <top style="medium"/>
      <bottom>
        <color indexed="63"/>
      </bottom>
    </border>
    <border>
      <left style="medium"/>
      <right style="medium"/>
      <top>
        <color indexed="63"/>
      </top>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347">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0" fillId="2" borderId="0" xfId="0" applyFill="1" applyAlignment="1">
      <alignment/>
    </xf>
    <xf numFmtId="0" fontId="0" fillId="0" borderId="0" xfId="0" applyFill="1" applyAlignment="1">
      <alignment/>
    </xf>
    <xf numFmtId="0" fontId="6" fillId="0" borderId="1" xfId="0" applyNumberFormat="1" applyFont="1" applyBorder="1" applyAlignment="1">
      <alignment/>
    </xf>
    <xf numFmtId="0" fontId="6" fillId="0" borderId="0" xfId="0" applyNumberFormat="1" applyFont="1" applyBorder="1" applyAlignment="1">
      <alignment/>
    </xf>
    <xf numFmtId="0" fontId="5" fillId="0" borderId="2" xfId="0" applyNumberFormat="1" applyFont="1" applyBorder="1" applyAlignment="1">
      <alignment/>
    </xf>
    <xf numFmtId="0" fontId="5" fillId="0" borderId="3" xfId="0" applyNumberFormat="1" applyFont="1" applyBorder="1" applyAlignment="1">
      <alignment/>
    </xf>
    <xf numFmtId="0" fontId="5" fillId="0" borderId="4" xfId="0" applyNumberFormat="1" applyFont="1" applyBorder="1" applyAlignment="1">
      <alignment/>
    </xf>
    <xf numFmtId="0" fontId="6" fillId="0" borderId="5" xfId="0" applyNumberFormat="1" applyFont="1" applyBorder="1" applyAlignment="1">
      <alignment/>
    </xf>
    <xf numFmtId="0" fontId="0" fillId="0" borderId="6" xfId="0" applyBorder="1" applyAlignment="1">
      <alignment horizontal="center"/>
    </xf>
    <xf numFmtId="0" fontId="8" fillId="0" borderId="0" xfId="0" applyNumberFormat="1" applyFont="1" applyBorder="1" applyAlignment="1">
      <alignment/>
    </xf>
    <xf numFmtId="2" fontId="0" fillId="0" borderId="7" xfId="0" applyNumberFormat="1" applyFill="1" applyBorder="1" applyAlignment="1">
      <alignment horizontal="center"/>
    </xf>
    <xf numFmtId="0" fontId="1" fillId="0" borderId="8" xfId="0" applyFont="1" applyBorder="1" applyAlignment="1">
      <alignment horizontal="center" wrapText="1"/>
    </xf>
    <xf numFmtId="0" fontId="1" fillId="0" borderId="8" xfId="0" applyFont="1" applyBorder="1" applyAlignment="1">
      <alignment horizontal="center" vertical="center" wrapText="1"/>
    </xf>
    <xf numFmtId="0" fontId="0" fillId="0" borderId="7" xfId="0" applyBorder="1" applyAlignment="1">
      <alignment horizontal="center"/>
    </xf>
    <xf numFmtId="0" fontId="0" fillId="0" borderId="7" xfId="0" applyFill="1" applyBorder="1" applyAlignment="1">
      <alignment horizontal="center"/>
    </xf>
    <xf numFmtId="0" fontId="0" fillId="0" borderId="9" xfId="0" applyFill="1" applyBorder="1" applyAlignment="1">
      <alignment/>
    </xf>
    <xf numFmtId="178" fontId="0" fillId="0" borderId="7" xfId="0" applyNumberFormat="1" applyFill="1" applyBorder="1" applyAlignment="1">
      <alignment horizontal="center"/>
    </xf>
    <xf numFmtId="180" fontId="0" fillId="0" borderId="10" xfId="0" applyNumberFormat="1" applyFont="1" applyFill="1" applyBorder="1" applyAlignment="1">
      <alignment horizontal="center"/>
    </xf>
    <xf numFmtId="174" fontId="0" fillId="0" borderId="7" xfId="0" applyNumberFormat="1" applyFont="1" applyFill="1" applyBorder="1" applyAlignment="1">
      <alignment horizontal="center"/>
    </xf>
    <xf numFmtId="0" fontId="17" fillId="0" borderId="11" xfId="0" applyFont="1" applyBorder="1" applyAlignment="1">
      <alignment horizontal="center" vertical="top" wrapText="1"/>
    </xf>
    <xf numFmtId="0" fontId="8" fillId="0" borderId="11" xfId="0" applyFont="1" applyBorder="1" applyAlignment="1">
      <alignment horizontal="center" vertical="top" wrapText="1"/>
    </xf>
    <xf numFmtId="0" fontId="9" fillId="3" borderId="8" xfId="0" applyFont="1" applyFill="1" applyBorder="1" applyAlignment="1">
      <alignment horizontal="center" wrapText="1"/>
    </xf>
    <xf numFmtId="0" fontId="9" fillId="3" borderId="8"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Fill="1" applyBorder="1" applyAlignment="1">
      <alignment horizontal="center" wrapText="1"/>
    </xf>
    <xf numFmtId="0" fontId="6" fillId="4" borderId="0" xfId="0" applyNumberFormat="1" applyFont="1" applyFill="1" applyBorder="1" applyAlignment="1">
      <alignment/>
    </xf>
    <xf numFmtId="0" fontId="0" fillId="4" borderId="0" xfId="0" applyFill="1" applyAlignment="1">
      <alignment/>
    </xf>
    <xf numFmtId="0" fontId="6" fillId="4" borderId="0" xfId="0" applyNumberFormat="1" applyFont="1" applyFill="1" applyBorder="1" applyAlignment="1">
      <alignment horizontal="center"/>
    </xf>
    <xf numFmtId="0" fontId="8" fillId="4" borderId="0" xfId="0" applyFont="1" applyFill="1" applyBorder="1" applyAlignment="1">
      <alignment vertical="top" wrapText="1"/>
    </xf>
    <xf numFmtId="0" fontId="0" fillId="4" borderId="0" xfId="0" applyFill="1" applyBorder="1" applyAlignment="1">
      <alignment/>
    </xf>
    <xf numFmtId="0" fontId="5" fillId="4" borderId="0" xfId="0" applyFont="1" applyFill="1" applyBorder="1" applyAlignment="1">
      <alignment horizontal="justify" vertical="top" wrapText="1"/>
    </xf>
    <xf numFmtId="0" fontId="11" fillId="4" borderId="0" xfId="0" applyFont="1" applyFill="1" applyAlignment="1">
      <alignment/>
    </xf>
    <xf numFmtId="0" fontId="8" fillId="4" borderId="0" xfId="0" applyFont="1" applyFill="1" applyAlignment="1">
      <alignment horizontal="justify" vertical="top" wrapText="1"/>
    </xf>
    <xf numFmtId="0" fontId="8" fillId="4" borderId="0" xfId="0" applyFont="1" applyFill="1" applyBorder="1" applyAlignment="1">
      <alignment horizontal="justify" vertical="top" wrapText="1"/>
    </xf>
    <xf numFmtId="0" fontId="5" fillId="4" borderId="0" xfId="0" applyFont="1" applyFill="1" applyAlignment="1">
      <alignment horizontal="justify" vertical="top" wrapText="1"/>
    </xf>
    <xf numFmtId="0" fontId="8" fillId="0" borderId="7" xfId="0" applyFont="1" applyBorder="1" applyAlignment="1">
      <alignment horizontal="justify" vertical="top" wrapText="1"/>
    </xf>
    <xf numFmtId="0" fontId="5" fillId="0" borderId="7" xfId="0" applyFont="1" applyBorder="1" applyAlignment="1">
      <alignment horizontal="justify" vertical="top" wrapText="1"/>
    </xf>
    <xf numFmtId="0" fontId="5" fillId="0" borderId="13" xfId="0" applyFont="1" applyBorder="1" applyAlignment="1">
      <alignment horizontal="justify" vertical="top" wrapText="1"/>
    </xf>
    <xf numFmtId="0" fontId="6" fillId="4" borderId="0" xfId="0" applyNumberFormat="1" applyFont="1" applyFill="1" applyBorder="1" applyAlignment="1">
      <alignment horizontal="left"/>
    </xf>
    <xf numFmtId="0" fontId="8" fillId="4" borderId="14" xfId="0" applyFont="1" applyFill="1" applyBorder="1" applyAlignment="1">
      <alignment horizontal="center" vertical="top" wrapText="1"/>
    </xf>
    <xf numFmtId="0" fontId="5" fillId="4" borderId="0" xfId="0" applyFont="1" applyFill="1" applyBorder="1" applyAlignment="1">
      <alignment horizontal="center" vertical="center" wrapText="1"/>
    </xf>
    <xf numFmtId="0" fontId="6" fillId="4" borderId="0" xfId="0" applyNumberFormat="1" applyFont="1" applyFill="1" applyBorder="1" applyAlignment="1">
      <alignment horizontal="center" vertical="center"/>
    </xf>
    <xf numFmtId="0" fontId="9" fillId="4" borderId="0" xfId="0" applyFont="1" applyFill="1" applyBorder="1" applyAlignment="1">
      <alignment horizontal="center" vertical="top" wrapText="1"/>
    </xf>
    <xf numFmtId="0" fontId="10" fillId="4" borderId="0" xfId="0" applyNumberFormat="1" applyFont="1" applyFill="1" applyBorder="1" applyAlignment="1">
      <alignment/>
    </xf>
    <xf numFmtId="0" fontId="8" fillId="4" borderId="0" xfId="0" applyNumberFormat="1" applyFont="1" applyFill="1" applyBorder="1" applyAlignment="1">
      <alignment/>
    </xf>
    <xf numFmtId="0" fontId="8" fillId="4" borderId="0" xfId="0" applyFont="1" applyFill="1" applyAlignment="1">
      <alignment/>
    </xf>
    <xf numFmtId="0" fontId="8" fillId="4" borderId="0" xfId="0" applyFont="1" applyFill="1" applyAlignment="1">
      <alignment/>
    </xf>
    <xf numFmtId="0" fontId="0" fillId="4" borderId="0" xfId="0" applyFill="1" applyAlignment="1">
      <alignment/>
    </xf>
    <xf numFmtId="0" fontId="6" fillId="4" borderId="14" xfId="0" applyNumberFormat="1" applyFont="1" applyFill="1" applyBorder="1" applyAlignment="1">
      <alignment/>
    </xf>
    <xf numFmtId="0" fontId="0" fillId="4" borderId="0" xfId="0" applyNumberFormat="1" applyFont="1" applyFill="1" applyBorder="1" applyAlignment="1">
      <alignment/>
    </xf>
    <xf numFmtId="0" fontId="9" fillId="4" borderId="0" xfId="0" applyNumberFormat="1" applyFont="1" applyFill="1" applyBorder="1" applyAlignment="1">
      <alignment horizontal="left"/>
    </xf>
    <xf numFmtId="0" fontId="0" fillId="4" borderId="0" xfId="0" applyNumberFormat="1" applyFont="1" applyFill="1" applyBorder="1" applyAlignment="1">
      <alignment horizontal="center"/>
    </xf>
    <xf numFmtId="0" fontId="0" fillId="4" borderId="0" xfId="0" applyNumberFormat="1" applyFill="1" applyBorder="1" applyAlignment="1">
      <alignment/>
    </xf>
    <xf numFmtId="0" fontId="9" fillId="4" borderId="0" xfId="0" applyNumberFormat="1" applyFont="1" applyFill="1" applyBorder="1" applyAlignment="1">
      <alignment/>
    </xf>
    <xf numFmtId="0" fontId="13" fillId="0" borderId="10" xfId="0" applyFont="1" applyBorder="1" applyAlignment="1">
      <alignment/>
    </xf>
    <xf numFmtId="0" fontId="8" fillId="0" borderId="15" xfId="0" applyFont="1" applyBorder="1" applyAlignment="1">
      <alignment vertical="top" wrapText="1"/>
    </xf>
    <xf numFmtId="0" fontId="1" fillId="4" borderId="0" xfId="0" applyFont="1" applyFill="1" applyBorder="1" applyAlignment="1">
      <alignment horizontal="left"/>
    </xf>
    <xf numFmtId="0" fontId="0" fillId="4" borderId="0" xfId="0" applyFill="1" applyBorder="1" applyAlignment="1">
      <alignment horizontal="center"/>
    </xf>
    <xf numFmtId="0" fontId="5" fillId="4" borderId="0" xfId="0" applyFont="1" applyFill="1" applyAlignment="1">
      <alignment/>
    </xf>
    <xf numFmtId="0" fontId="9" fillId="4" borderId="0" xfId="0" applyFont="1" applyFill="1" applyAlignment="1">
      <alignment/>
    </xf>
    <xf numFmtId="0" fontId="4" fillId="4" borderId="0" xfId="0" applyFont="1" applyFill="1" applyAlignment="1">
      <alignment/>
    </xf>
    <xf numFmtId="0" fontId="12" fillId="4" borderId="0" xfId="0" applyFont="1" applyFill="1" applyBorder="1" applyAlignment="1">
      <alignment horizontal="left"/>
    </xf>
    <xf numFmtId="0" fontId="7" fillId="4" borderId="0" xfId="0" applyFont="1" applyFill="1" applyBorder="1" applyAlignment="1">
      <alignment horizontal="left" vertical="top"/>
    </xf>
    <xf numFmtId="0" fontId="8" fillId="4" borderId="0" xfId="0" applyFont="1" applyFill="1" applyBorder="1" applyAlignment="1">
      <alignment horizontal="right" vertical="top" wrapText="1"/>
    </xf>
    <xf numFmtId="0" fontId="1" fillId="4" borderId="0" xfId="0" applyFont="1" applyFill="1" applyBorder="1" applyAlignment="1">
      <alignment horizontal="center" wrapText="1"/>
    </xf>
    <xf numFmtId="0" fontId="1" fillId="4" borderId="0" xfId="0" applyFont="1" applyFill="1" applyAlignment="1">
      <alignment/>
    </xf>
    <xf numFmtId="0" fontId="0" fillId="4" borderId="0" xfId="0" applyFill="1" applyBorder="1" applyAlignment="1">
      <alignment/>
    </xf>
    <xf numFmtId="0" fontId="1" fillId="3" borderId="7" xfId="0" applyFont="1" applyFill="1" applyBorder="1" applyAlignment="1">
      <alignment horizontal="left"/>
    </xf>
    <xf numFmtId="0" fontId="8" fillId="0" borderId="7" xfId="0" applyFont="1" applyBorder="1" applyAlignment="1">
      <alignment horizontal="center" vertical="top" wrapText="1"/>
    </xf>
    <xf numFmtId="0" fontId="6" fillId="0" borderId="7" xfId="0" applyNumberFormat="1" applyFont="1" applyBorder="1" applyAlignment="1">
      <alignment horizontal="center"/>
    </xf>
    <xf numFmtId="0" fontId="0" fillId="0" borderId="16" xfId="0" applyFill="1" applyBorder="1" applyAlignment="1">
      <alignment horizontal="center"/>
    </xf>
    <xf numFmtId="0" fontId="0" fillId="4" borderId="0" xfId="0" applyFont="1" applyFill="1" applyBorder="1" applyAlignment="1">
      <alignment horizontal="center"/>
    </xf>
    <xf numFmtId="2" fontId="0" fillId="4" borderId="0" xfId="0" applyNumberFormat="1" applyFill="1" applyBorder="1" applyAlignment="1">
      <alignment horizontal="center"/>
    </xf>
    <xf numFmtId="2" fontId="0" fillId="4" borderId="0" xfId="0" applyNumberFormat="1" applyFont="1" applyFill="1" applyBorder="1" applyAlignment="1">
      <alignment horizontal="center"/>
    </xf>
    <xf numFmtId="2" fontId="0" fillId="4" borderId="7" xfId="0" applyNumberFormat="1" applyFill="1" applyBorder="1" applyAlignment="1">
      <alignment horizontal="center"/>
    </xf>
    <xf numFmtId="0" fontId="0" fillId="3" borderId="7" xfId="0" applyFont="1" applyFill="1" applyBorder="1" applyAlignment="1">
      <alignment horizontal="center"/>
    </xf>
    <xf numFmtId="0" fontId="23" fillId="4" borderId="0" xfId="21" applyFont="1" applyFill="1" applyBorder="1" applyAlignment="1" applyProtection="1">
      <alignment horizontal="left" vertical="center"/>
      <protection locked="0"/>
    </xf>
    <xf numFmtId="0" fontId="23" fillId="4" borderId="0" xfId="21" applyFont="1" applyFill="1" applyBorder="1" applyAlignment="1">
      <alignment horizontal="center" vertical="center"/>
      <protection/>
    </xf>
    <xf numFmtId="0" fontId="23" fillId="4" borderId="0" xfId="21" applyFont="1" applyFill="1" applyAlignment="1">
      <alignment horizontal="center" vertical="center"/>
      <protection/>
    </xf>
    <xf numFmtId="0" fontId="7" fillId="4" borderId="0" xfId="21" applyFont="1" applyFill="1" applyAlignment="1">
      <alignment horizontal="right" vertical="center" wrapText="1"/>
      <protection/>
    </xf>
    <xf numFmtId="0" fontId="23" fillId="4" borderId="0" xfId="21" applyFont="1" applyFill="1" applyBorder="1" applyAlignment="1" applyProtection="1">
      <alignment horizontal="center" vertical="center"/>
      <protection locked="0"/>
    </xf>
    <xf numFmtId="0" fontId="24" fillId="4" borderId="0" xfId="21" applyFont="1" applyFill="1" applyBorder="1" applyAlignment="1">
      <alignment horizontal="right" vertical="center" wrapText="1"/>
      <protection/>
    </xf>
    <xf numFmtId="0" fontId="4" fillId="4" borderId="0" xfId="21" applyFont="1" applyFill="1" applyAlignment="1">
      <alignment horizontal="left" vertical="center"/>
      <protection/>
    </xf>
    <xf numFmtId="0" fontId="4" fillId="4" borderId="0" xfId="21" applyFont="1" applyFill="1" applyAlignment="1">
      <alignment horizontal="right" vertical="center"/>
      <protection/>
    </xf>
    <xf numFmtId="0" fontId="23" fillId="0" borderId="7" xfId="21" applyFont="1" applyFill="1" applyBorder="1" applyAlignment="1" applyProtection="1">
      <alignment horizontal="center" vertical="center"/>
      <protection locked="0"/>
    </xf>
    <xf numFmtId="0" fontId="23" fillId="0" borderId="7" xfId="21" applyFont="1" applyFill="1" applyBorder="1" applyAlignment="1">
      <alignment horizontal="center" vertical="center"/>
      <protection/>
    </xf>
    <xf numFmtId="182" fontId="23" fillId="0" borderId="7" xfId="21" applyNumberFormat="1" applyFont="1" applyFill="1" applyBorder="1" applyAlignment="1" applyProtection="1">
      <alignment horizontal="left" vertical="center"/>
      <protection locked="0"/>
    </xf>
    <xf numFmtId="0" fontId="23" fillId="4" borderId="0" xfId="21" applyFont="1" applyFill="1" applyBorder="1" applyAlignment="1">
      <alignment vertical="center"/>
      <protection/>
    </xf>
    <xf numFmtId="0" fontId="24" fillId="4" borderId="0" xfId="21" applyFont="1" applyFill="1" applyBorder="1" applyAlignment="1">
      <alignment horizontal="center" vertical="center"/>
      <protection/>
    </xf>
    <xf numFmtId="0" fontId="4" fillId="4" borderId="0" xfId="21" applyFont="1" applyFill="1" applyBorder="1" applyAlignment="1">
      <alignment horizontal="left" vertical="center"/>
      <protection/>
    </xf>
    <xf numFmtId="0" fontId="1" fillId="4" borderId="0" xfId="0" applyFont="1" applyFill="1" applyBorder="1" applyAlignment="1">
      <alignment horizontal="left" vertical="center"/>
    </xf>
    <xf numFmtId="0" fontId="0" fillId="4" borderId="0" xfId="0" applyFill="1" applyBorder="1" applyAlignment="1">
      <alignment horizontal="left"/>
    </xf>
    <xf numFmtId="2" fontId="0" fillId="3" borderId="7" xfId="0" applyNumberFormat="1" applyFill="1" applyBorder="1" applyAlignment="1">
      <alignment horizontal="center"/>
    </xf>
    <xf numFmtId="0" fontId="0" fillId="3" borderId="7" xfId="0" applyFill="1" applyBorder="1" applyAlignment="1">
      <alignment horizontal="center"/>
    </xf>
    <xf numFmtId="0" fontId="23" fillId="4" borderId="0" xfId="21" applyFont="1" applyFill="1" applyAlignment="1" applyProtection="1">
      <alignment horizontal="left" vertical="center"/>
      <protection locked="0"/>
    </xf>
    <xf numFmtId="0" fontId="23" fillId="4" borderId="0" xfId="21" applyFont="1" applyFill="1" applyAlignment="1" applyProtection="1">
      <alignment horizontal="center" vertical="center"/>
      <protection locked="0"/>
    </xf>
    <xf numFmtId="0" fontId="0" fillId="4" borderId="7" xfId="0" applyFill="1" applyBorder="1" applyAlignment="1">
      <alignment/>
    </xf>
    <xf numFmtId="0" fontId="27" fillId="4" borderId="0" xfId="0" applyFont="1" applyFill="1" applyAlignment="1">
      <alignment/>
    </xf>
    <xf numFmtId="178" fontId="0" fillId="0" borderId="6" xfId="0" applyNumberFormat="1" applyBorder="1" applyAlignment="1">
      <alignment horizontal="center"/>
    </xf>
    <xf numFmtId="178" fontId="0" fillId="3" borderId="7" xfId="0" applyNumberFormat="1" applyFill="1" applyBorder="1" applyAlignment="1">
      <alignment horizontal="center"/>
    </xf>
    <xf numFmtId="178" fontId="0" fillId="5" borderId="7" xfId="0" applyNumberFormat="1" applyFill="1" applyBorder="1" applyAlignment="1">
      <alignment horizontal="center"/>
    </xf>
    <xf numFmtId="178" fontId="0" fillId="5" borderId="17" xfId="0" applyNumberFormat="1" applyFill="1" applyBorder="1" applyAlignment="1">
      <alignment horizontal="center"/>
    </xf>
    <xf numFmtId="0" fontId="9" fillId="3" borderId="5" xfId="0" applyFont="1" applyFill="1" applyBorder="1" applyAlignment="1">
      <alignment horizontal="center" vertical="center" wrapText="1"/>
    </xf>
    <xf numFmtId="0" fontId="1" fillId="4" borderId="0" xfId="0" applyFont="1" applyFill="1" applyBorder="1" applyAlignment="1">
      <alignment horizontal="center"/>
    </xf>
    <xf numFmtId="0" fontId="30" fillId="4" borderId="0" xfId="21" applyFont="1" applyFill="1" applyAlignment="1">
      <alignment horizontal="center" vertical="center"/>
      <protection/>
    </xf>
    <xf numFmtId="0" fontId="6" fillId="4" borderId="0" xfId="0" applyNumberFormat="1" applyFont="1" applyFill="1" applyBorder="1" applyAlignment="1">
      <alignment horizontal="right"/>
    </xf>
    <xf numFmtId="0" fontId="6" fillId="4" borderId="0" xfId="0" applyNumberFormat="1" applyFont="1" applyFill="1" applyBorder="1" applyAlignment="1">
      <alignment/>
    </xf>
    <xf numFmtId="2" fontId="0" fillId="0" borderId="6" xfId="0" applyNumberFormat="1" applyBorder="1" applyAlignment="1">
      <alignment horizontal="center"/>
    </xf>
    <xf numFmtId="0" fontId="9" fillId="0" borderId="8" xfId="0" applyFont="1" applyFill="1" applyBorder="1" applyAlignment="1">
      <alignment horizontal="center" vertical="center" wrapText="1"/>
    </xf>
    <xf numFmtId="178" fontId="0" fillId="0" borderId="18" xfId="0" applyNumberFormat="1" applyBorder="1" applyAlignment="1">
      <alignment horizontal="center"/>
    </xf>
    <xf numFmtId="178" fontId="0" fillId="0" borderId="9" xfId="0" applyNumberFormat="1" applyBorder="1" applyAlignment="1">
      <alignment horizontal="center"/>
    </xf>
    <xf numFmtId="178" fontId="0" fillId="0" borderId="19" xfId="0" applyNumberFormat="1" applyBorder="1" applyAlignment="1">
      <alignment horizontal="center"/>
    </xf>
    <xf numFmtId="178" fontId="0" fillId="0" borderId="7" xfId="0" applyNumberFormat="1" applyBorder="1" applyAlignment="1">
      <alignment horizontal="center"/>
    </xf>
    <xf numFmtId="178" fontId="0" fillId="0" borderId="20" xfId="0" applyNumberFormat="1" applyBorder="1" applyAlignment="1">
      <alignment horizontal="center"/>
    </xf>
    <xf numFmtId="178" fontId="0" fillId="0" borderId="21" xfId="0" applyNumberFormat="1" applyBorder="1" applyAlignment="1">
      <alignment horizontal="center"/>
    </xf>
    <xf numFmtId="178" fontId="0" fillId="0" borderId="22" xfId="0" applyNumberFormat="1" applyBorder="1" applyAlignment="1">
      <alignment horizontal="center"/>
    </xf>
    <xf numFmtId="178" fontId="0" fillId="0" borderId="2" xfId="0" applyNumberFormat="1" applyBorder="1" applyAlignment="1">
      <alignment horizontal="center"/>
    </xf>
    <xf numFmtId="178" fontId="0" fillId="4" borderId="0" xfId="0" applyNumberFormat="1" applyFont="1" applyFill="1" applyBorder="1" applyAlignment="1">
      <alignment horizontal="center"/>
    </xf>
    <xf numFmtId="0" fontId="5" fillId="4" borderId="0" xfId="0" applyFont="1" applyFill="1" applyBorder="1" applyAlignment="1">
      <alignment horizontal="left" vertical="top"/>
    </xf>
    <xf numFmtId="0" fontId="4" fillId="4" borderId="0" xfId="0" applyFont="1" applyFill="1" applyBorder="1" applyAlignment="1">
      <alignment horizontal="left" vertical="top"/>
    </xf>
    <xf numFmtId="0" fontId="8" fillId="0" borderId="7" xfId="0" applyFont="1" applyFill="1" applyBorder="1" applyAlignment="1">
      <alignment horizontal="right" vertical="top" wrapText="1"/>
    </xf>
    <xf numFmtId="0" fontId="1" fillId="6" borderId="8" xfId="0" applyFont="1" applyFill="1" applyBorder="1" applyAlignment="1">
      <alignment horizontal="center" wrapText="1"/>
    </xf>
    <xf numFmtId="0" fontId="1" fillId="6" borderId="23" xfId="0" applyFont="1" applyFill="1" applyBorder="1" applyAlignment="1">
      <alignment horizontal="center" vertical="center" wrapText="1"/>
    </xf>
    <xf numFmtId="178" fontId="0" fillId="4" borderId="0" xfId="0" applyNumberFormat="1" applyFill="1" applyBorder="1" applyAlignment="1">
      <alignment horizontal="center"/>
    </xf>
    <xf numFmtId="2" fontId="0" fillId="4" borderId="0" xfId="0" applyNumberFormat="1" applyFill="1" applyAlignment="1">
      <alignment/>
    </xf>
    <xf numFmtId="0" fontId="8" fillId="4" borderId="0" xfId="0" applyFont="1" applyFill="1" applyBorder="1" applyAlignment="1">
      <alignment horizontal="center" vertical="top" wrapText="1"/>
    </xf>
    <xf numFmtId="0" fontId="0" fillId="4" borderId="24" xfId="0" applyFill="1" applyBorder="1" applyAlignment="1">
      <alignment/>
    </xf>
    <xf numFmtId="0" fontId="5" fillId="4" borderId="24" xfId="0" applyFont="1" applyFill="1" applyBorder="1" applyAlignment="1">
      <alignment horizontal="left" vertical="top"/>
    </xf>
    <xf numFmtId="0" fontId="8" fillId="4" borderId="24" xfId="0" applyFont="1" applyFill="1" applyBorder="1" applyAlignment="1">
      <alignment horizontal="justify" vertical="top" wrapText="1"/>
    </xf>
    <xf numFmtId="0" fontId="0" fillId="0" borderId="24" xfId="0" applyBorder="1" applyAlignment="1">
      <alignment/>
    </xf>
    <xf numFmtId="0" fontId="8" fillId="0" borderId="7" xfId="0" applyNumberFormat="1" applyFont="1" applyFill="1" applyBorder="1" applyAlignment="1">
      <alignment horizontal="center"/>
    </xf>
    <xf numFmtId="0" fontId="0" fillId="0" borderId="7" xfId="0" applyFill="1" applyBorder="1" applyAlignment="1">
      <alignment/>
    </xf>
    <xf numFmtId="0" fontId="0" fillId="4" borderId="0" xfId="0" applyFont="1" applyFill="1" applyAlignment="1">
      <alignment/>
    </xf>
    <xf numFmtId="0" fontId="0" fillId="4" borderId="0" xfId="0" applyFill="1" applyAlignment="1">
      <alignment horizontal="left"/>
    </xf>
    <xf numFmtId="0" fontId="5" fillId="4" borderId="0" xfId="0" applyFont="1" applyFill="1" applyBorder="1" applyAlignment="1">
      <alignment horizontal="center" vertical="top" wrapText="1"/>
    </xf>
    <xf numFmtId="0" fontId="1" fillId="0" borderId="8" xfId="0" applyFont="1" applyBorder="1" applyAlignment="1">
      <alignment horizontal="center" vertical="center"/>
    </xf>
    <xf numFmtId="0" fontId="4" fillId="0" borderId="8" xfId="0" applyFont="1" applyBorder="1" applyAlignment="1">
      <alignment horizontal="center" vertical="center" wrapText="1"/>
    </xf>
    <xf numFmtId="2" fontId="0" fillId="0" borderId="7" xfId="0" applyNumberFormat="1" applyFont="1" applyFill="1" applyBorder="1" applyAlignment="1">
      <alignment horizontal="center"/>
    </xf>
    <xf numFmtId="0" fontId="8" fillId="3" borderId="25" xfId="0" applyFont="1" applyFill="1" applyBorder="1" applyAlignment="1">
      <alignment horizontal="center" vertical="top" wrapText="1"/>
    </xf>
    <xf numFmtId="0" fontId="5" fillId="4" borderId="0" xfId="0" applyFont="1" applyFill="1"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center"/>
    </xf>
    <xf numFmtId="0" fontId="0" fillId="4" borderId="0" xfId="0" applyFill="1" applyAlignment="1">
      <alignment horizontal="center" vertical="center"/>
    </xf>
    <xf numFmtId="0" fontId="0" fillId="0" borderId="0" xfId="0" applyAlignment="1">
      <alignment horizontal="center" vertical="center"/>
    </xf>
    <xf numFmtId="0" fontId="0" fillId="4" borderId="0" xfId="0" applyFill="1" applyAlignment="1">
      <alignment horizontal="left" vertical="center"/>
    </xf>
    <xf numFmtId="0" fontId="10" fillId="4" borderId="0" xfId="0" applyNumberFormat="1" applyFont="1" applyFill="1" applyBorder="1" applyAlignment="1">
      <alignment horizontal="left" vertical="center"/>
    </xf>
    <xf numFmtId="0" fontId="6" fillId="4" borderId="0" xfId="0" applyNumberFormat="1" applyFont="1" applyFill="1" applyBorder="1" applyAlignment="1">
      <alignment horizontal="left" vertical="center"/>
    </xf>
    <xf numFmtId="0" fontId="31" fillId="4" borderId="0" xfId="0" applyFont="1" applyFill="1" applyAlignment="1">
      <alignment/>
    </xf>
    <xf numFmtId="0" fontId="33" fillId="0" borderId="7" xfId="0" applyFont="1" applyFill="1" applyBorder="1" applyAlignment="1">
      <alignment horizontal="center"/>
    </xf>
    <xf numFmtId="0" fontId="1" fillId="4" borderId="0" xfId="0" applyFont="1" applyFill="1" applyBorder="1" applyAlignment="1">
      <alignment horizontal="left" wrapText="1"/>
    </xf>
    <xf numFmtId="0" fontId="0" fillId="7" borderId="0" xfId="0" applyFill="1" applyAlignment="1">
      <alignment/>
    </xf>
    <xf numFmtId="0" fontId="1" fillId="7"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2" fontId="0" fillId="7" borderId="0" xfId="0" applyNumberFormat="1" applyFill="1" applyBorder="1" applyAlignment="1">
      <alignment horizontal="center"/>
    </xf>
    <xf numFmtId="0" fontId="0" fillId="7" borderId="0" xfId="0" applyFill="1" applyBorder="1" applyAlignment="1">
      <alignment horizontal="center"/>
    </xf>
    <xf numFmtId="0" fontId="0" fillId="7" borderId="0" xfId="0" applyFont="1" applyFill="1" applyBorder="1" applyAlignment="1">
      <alignment horizontal="center"/>
    </xf>
    <xf numFmtId="0" fontId="0" fillId="7" borderId="0" xfId="0" applyFill="1" applyBorder="1" applyAlignment="1">
      <alignment/>
    </xf>
    <xf numFmtId="0" fontId="1" fillId="4" borderId="5"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7" borderId="0" xfId="0" applyFont="1" applyFill="1" applyBorder="1" applyAlignment="1">
      <alignment horizontal="left"/>
    </xf>
    <xf numFmtId="0" fontId="35" fillId="4" borderId="0" xfId="0" applyFont="1" applyFill="1" applyBorder="1" applyAlignment="1">
      <alignment/>
    </xf>
    <xf numFmtId="0" fontId="25" fillId="4" borderId="0" xfId="0" applyFont="1" applyFill="1" applyBorder="1" applyAlignment="1">
      <alignment/>
    </xf>
    <xf numFmtId="0" fontId="25" fillId="4" borderId="0" xfId="0" applyFont="1" applyFill="1" applyBorder="1" applyAlignment="1">
      <alignment horizontal="center" wrapText="1"/>
    </xf>
    <xf numFmtId="2" fontId="0" fillId="0" borderId="9" xfId="0" applyNumberFormat="1" applyFill="1" applyBorder="1" applyAlignment="1">
      <alignment horizontal="center"/>
    </xf>
    <xf numFmtId="2" fontId="0" fillId="4" borderId="18" xfId="0" applyNumberFormat="1" applyFont="1" applyFill="1" applyBorder="1" applyAlignment="1">
      <alignment horizontal="center"/>
    </xf>
    <xf numFmtId="178" fontId="0" fillId="4" borderId="7" xfId="0" applyNumberFormat="1" applyFill="1" applyBorder="1" applyAlignment="1">
      <alignment horizontal="center"/>
    </xf>
    <xf numFmtId="2" fontId="0" fillId="4" borderId="19" xfId="0" applyNumberFormat="1" applyFont="1" applyFill="1" applyBorder="1" applyAlignment="1">
      <alignment horizontal="center"/>
    </xf>
    <xf numFmtId="0" fontId="0" fillId="4" borderId="19" xfId="0" applyFont="1" applyFill="1" applyBorder="1" applyAlignment="1">
      <alignment horizontal="center"/>
    </xf>
    <xf numFmtId="0" fontId="1" fillId="4" borderId="8" xfId="0" applyFont="1" applyFill="1" applyBorder="1" applyAlignment="1">
      <alignment horizontal="center" vertical="center" wrapText="1"/>
    </xf>
    <xf numFmtId="0" fontId="0" fillId="4" borderId="6" xfId="0" applyFill="1" applyBorder="1" applyAlignment="1">
      <alignment horizontal="center"/>
    </xf>
    <xf numFmtId="186" fontId="0" fillId="4" borderId="7" xfId="0" applyNumberFormat="1" applyFill="1" applyBorder="1" applyAlignment="1">
      <alignment horizontal="center"/>
    </xf>
    <xf numFmtId="0" fontId="36" fillId="2" borderId="8"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0" fillId="6" borderId="26" xfId="0" applyFill="1" applyBorder="1" applyAlignment="1">
      <alignment horizontal="center"/>
    </xf>
    <xf numFmtId="0" fontId="0" fillId="8" borderId="27" xfId="0" applyFill="1" applyBorder="1" applyAlignment="1">
      <alignment horizontal="center"/>
    </xf>
    <xf numFmtId="0" fontId="0" fillId="8" borderId="28" xfId="0" applyFill="1" applyBorder="1" applyAlignment="1">
      <alignment/>
    </xf>
    <xf numFmtId="0" fontId="0" fillId="6" borderId="28" xfId="0" applyFill="1" applyBorder="1" applyAlignment="1">
      <alignment/>
    </xf>
    <xf numFmtId="0" fontId="0" fillId="8" borderId="12" xfId="0" applyFill="1" applyBorder="1" applyAlignment="1">
      <alignment/>
    </xf>
    <xf numFmtId="0" fontId="0" fillId="6" borderId="26" xfId="0" applyFill="1" applyBorder="1" applyAlignment="1">
      <alignment/>
    </xf>
    <xf numFmtId="0" fontId="0" fillId="8" borderId="0" xfId="0" applyFill="1" applyBorder="1" applyAlignment="1">
      <alignment/>
    </xf>
    <xf numFmtId="0" fontId="0" fillId="6" borderId="0" xfId="0" applyFill="1" applyBorder="1" applyAlignment="1">
      <alignment/>
    </xf>
    <xf numFmtId="0" fontId="0" fillId="8" borderId="27" xfId="0" applyFill="1" applyBorder="1" applyAlignment="1">
      <alignment/>
    </xf>
    <xf numFmtId="0" fontId="0" fillId="6" borderId="13" xfId="0" applyFill="1" applyBorder="1" applyAlignment="1">
      <alignment horizontal="center"/>
    </xf>
    <xf numFmtId="0" fontId="0" fillId="6" borderId="13" xfId="0" applyFill="1" applyBorder="1" applyAlignment="1">
      <alignment/>
    </xf>
    <xf numFmtId="0" fontId="0" fillId="8" borderId="14" xfId="0" applyFill="1" applyBorder="1" applyAlignment="1">
      <alignment/>
    </xf>
    <xf numFmtId="0" fontId="0" fillId="6" borderId="14" xfId="0" applyFill="1" applyBorder="1" applyAlignment="1">
      <alignment/>
    </xf>
    <xf numFmtId="174" fontId="0" fillId="4" borderId="0" xfId="0" applyNumberFormat="1" applyFont="1" applyFill="1" applyBorder="1" applyAlignment="1">
      <alignment horizontal="center"/>
    </xf>
    <xf numFmtId="180" fontId="0" fillId="4" borderId="0" xfId="0" applyNumberFormat="1" applyFont="1" applyFill="1" applyBorder="1" applyAlignment="1">
      <alignment horizontal="center"/>
    </xf>
    <xf numFmtId="188" fontId="0" fillId="0" borderId="10" xfId="18" applyNumberFormat="1" applyFont="1" applyFill="1" applyBorder="1" applyAlignment="1">
      <alignment/>
    </xf>
    <xf numFmtId="178" fontId="0" fillId="0" borderId="3" xfId="0" applyNumberFormat="1" applyBorder="1" applyAlignment="1">
      <alignment horizontal="center"/>
    </xf>
    <xf numFmtId="0" fontId="0" fillId="4" borderId="0" xfId="0" applyFill="1" applyBorder="1" applyAlignment="1">
      <alignment horizontal="center" wrapText="1"/>
    </xf>
    <xf numFmtId="178" fontId="0" fillId="0" borderId="10" xfId="0" applyNumberFormat="1" applyBorder="1" applyAlignment="1">
      <alignment horizontal="center"/>
    </xf>
    <xf numFmtId="178" fontId="0" fillId="0" borderId="29" xfId="0" applyNumberFormat="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2" fontId="0" fillId="4" borderId="32" xfId="0" applyNumberFormat="1" applyFill="1" applyBorder="1" applyAlignment="1">
      <alignment horizontal="center"/>
    </xf>
    <xf numFmtId="0" fontId="0" fillId="0" borderId="33" xfId="0" applyFill="1" applyBorder="1" applyAlignment="1">
      <alignment horizontal="center"/>
    </xf>
    <xf numFmtId="0" fontId="0" fillId="0" borderId="11" xfId="0" applyBorder="1" applyAlignment="1">
      <alignment horizontal="center"/>
    </xf>
    <xf numFmtId="0" fontId="0" fillId="0" borderId="25" xfId="0" applyFill="1" applyBorder="1" applyAlignment="1">
      <alignment horizontal="center"/>
    </xf>
    <xf numFmtId="0" fontId="0" fillId="0" borderId="25" xfId="0" applyBorder="1" applyAlignment="1">
      <alignment horizontal="center"/>
    </xf>
    <xf numFmtId="0" fontId="0" fillId="0" borderId="34" xfId="0" applyBorder="1" applyAlignment="1">
      <alignment horizontal="center"/>
    </xf>
    <xf numFmtId="0" fontId="0" fillId="4" borderId="0" xfId="0" applyFill="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NumberFormat="1" applyFont="1" applyFill="1" applyBorder="1" applyAlignment="1">
      <alignment horizontal="left" vertical="center"/>
    </xf>
    <xf numFmtId="0" fontId="1" fillId="0" borderId="0" xfId="0" applyFont="1" applyAlignment="1">
      <alignment/>
    </xf>
    <xf numFmtId="0" fontId="1" fillId="0" borderId="0" xfId="0" applyFont="1" applyFill="1" applyBorder="1" applyAlignment="1">
      <alignmen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0" fillId="0" borderId="0" xfId="0" applyNumberFormat="1" applyFont="1" applyFill="1" applyBorder="1" applyAlignment="1">
      <alignment/>
    </xf>
    <xf numFmtId="0" fontId="0" fillId="0" borderId="0" xfId="0" applyFont="1" applyAlignment="1">
      <alignment/>
    </xf>
    <xf numFmtId="0" fontId="21" fillId="4" borderId="0" xfId="0" applyNumberFormat="1" applyFont="1" applyFill="1" applyBorder="1" applyAlignment="1">
      <alignment horizontal="center"/>
    </xf>
    <xf numFmtId="0" fontId="27" fillId="7" borderId="0" xfId="0" applyFont="1" applyFill="1" applyBorder="1" applyAlignment="1">
      <alignment/>
    </xf>
    <xf numFmtId="0" fontId="0" fillId="7" borderId="24" xfId="0" applyFill="1" applyBorder="1" applyAlignment="1">
      <alignment/>
    </xf>
    <xf numFmtId="0" fontId="0" fillId="7" borderId="0" xfId="0" applyFill="1" applyBorder="1" applyAlignment="1">
      <alignment horizontal="center" vertical="center"/>
    </xf>
    <xf numFmtId="0" fontId="27" fillId="7" borderId="0" xfId="0" applyNumberFormat="1" applyFont="1" applyFill="1" applyBorder="1" applyAlignment="1">
      <alignment horizontal="center" vertical="center"/>
    </xf>
    <xf numFmtId="0" fontId="23" fillId="7" borderId="0" xfId="21" applyFont="1" applyFill="1" applyAlignment="1">
      <alignment horizontal="center" vertical="center"/>
      <protection/>
    </xf>
    <xf numFmtId="0" fontId="23" fillId="7" borderId="0" xfId="21" applyFont="1" applyFill="1" applyBorder="1" applyAlignment="1">
      <alignment horizontal="center" vertical="center"/>
      <protection/>
    </xf>
    <xf numFmtId="0" fontId="5" fillId="0" borderId="0" xfId="0" applyFont="1" applyFill="1" applyBorder="1" applyAlignment="1">
      <alignment horizontal="justify" vertical="top" wrapText="1"/>
    </xf>
    <xf numFmtId="0" fontId="5" fillId="0" borderId="0" xfId="0" applyFont="1" applyFill="1" applyBorder="1" applyAlignment="1">
      <alignment horizontal="left" vertical="top"/>
    </xf>
    <xf numFmtId="0" fontId="1" fillId="0" borderId="32" xfId="0" applyNumberFormat="1" applyFont="1" applyFill="1" applyBorder="1" applyAlignment="1">
      <alignment horizontal="center"/>
    </xf>
    <xf numFmtId="0" fontId="8" fillId="0" borderId="0" xfId="0" applyNumberFormat="1" applyFont="1" applyFill="1" applyBorder="1" applyAlignment="1">
      <alignment horizontal="center"/>
    </xf>
    <xf numFmtId="0" fontId="9" fillId="0" borderId="35" xfId="0" applyFont="1" applyFill="1" applyBorder="1" applyAlignment="1">
      <alignment horizontal="center" vertical="center" wrapText="1"/>
    </xf>
    <xf numFmtId="0" fontId="0" fillId="0" borderId="5" xfId="0" applyFill="1" applyBorder="1" applyAlignment="1">
      <alignment horizontal="center" vertical="center" wrapText="1"/>
    </xf>
    <xf numFmtId="0" fontId="1" fillId="0" borderId="36" xfId="0" applyFont="1" applyFill="1" applyBorder="1" applyAlignment="1">
      <alignment horizontal="center" vertical="center" wrapText="1"/>
    </xf>
    <xf numFmtId="0" fontId="0" fillId="4" borderId="0" xfId="0" applyFont="1" applyFill="1" applyAlignment="1">
      <alignment horizontal="left"/>
    </xf>
    <xf numFmtId="0" fontId="0" fillId="4" borderId="7" xfId="0" applyFont="1" applyFill="1" applyBorder="1" applyAlignment="1">
      <alignment horizontal="left"/>
    </xf>
    <xf numFmtId="0" fontId="8" fillId="0" borderId="37" xfId="0" applyFont="1" applyBorder="1" applyAlignment="1">
      <alignment horizontal="center" vertical="top" wrapText="1"/>
    </xf>
    <xf numFmtId="0" fontId="8" fillId="0" borderId="19" xfId="0" applyFont="1" applyBorder="1" applyAlignment="1">
      <alignment horizontal="center" vertical="top" wrapText="1"/>
    </xf>
    <xf numFmtId="0" fontId="4" fillId="4" borderId="0" xfId="0" applyFont="1" applyFill="1" applyBorder="1" applyAlignment="1">
      <alignment horizontal="center" vertical="top" wrapText="1"/>
    </xf>
    <xf numFmtId="0" fontId="4" fillId="4" borderId="0" xfId="0" applyFont="1" applyFill="1" applyBorder="1" applyAlignment="1">
      <alignment horizontal="center" vertical="center" wrapText="1"/>
    </xf>
    <xf numFmtId="0" fontId="17" fillId="4" borderId="0" xfId="0" applyFont="1" applyFill="1" applyBorder="1" applyAlignment="1">
      <alignment horizontal="center" vertical="top" wrapText="1"/>
    </xf>
    <xf numFmtId="0" fontId="6" fillId="4" borderId="0" xfId="0" applyFont="1" applyFill="1" applyBorder="1" applyAlignment="1">
      <alignment horizontal="center" vertical="top" wrapText="1"/>
    </xf>
    <xf numFmtId="0" fontId="4" fillId="0" borderId="5" xfId="0" applyFont="1" applyBorder="1" applyAlignment="1">
      <alignment horizontal="center" vertical="center" wrapText="1"/>
    </xf>
    <xf numFmtId="0" fontId="8" fillId="0" borderId="38" xfId="0" applyFont="1" applyBorder="1" applyAlignment="1">
      <alignment horizontal="center" vertical="top" wrapText="1"/>
    </xf>
    <xf numFmtId="0" fontId="8" fillId="0" borderId="20" xfId="0" applyFont="1" applyBorder="1" applyAlignment="1">
      <alignment horizontal="center" vertical="top" wrapText="1"/>
    </xf>
    <xf numFmtId="0" fontId="1" fillId="4" borderId="0" xfId="0" applyFont="1" applyFill="1" applyBorder="1" applyAlignment="1">
      <alignment/>
    </xf>
    <xf numFmtId="2" fontId="0" fillId="7" borderId="0" xfId="0" applyNumberFormat="1" applyFill="1" applyBorder="1" applyAlignment="1">
      <alignment/>
    </xf>
    <xf numFmtId="2" fontId="0" fillId="7" borderId="0" xfId="0" applyNumberFormat="1" applyFill="1" applyAlignment="1">
      <alignment/>
    </xf>
    <xf numFmtId="0" fontId="1" fillId="4" borderId="0" xfId="0" applyFont="1" applyFill="1" applyAlignment="1">
      <alignment horizontal="right"/>
    </xf>
    <xf numFmtId="0" fontId="1" fillId="4" borderId="0" xfId="0" applyFont="1" applyFill="1" applyAlignment="1">
      <alignment/>
    </xf>
    <xf numFmtId="178" fontId="0" fillId="0" borderId="3" xfId="0" applyNumberFormat="1" applyFill="1" applyBorder="1" applyAlignment="1">
      <alignment horizontal="center"/>
    </xf>
    <xf numFmtId="0" fontId="8" fillId="0" borderId="39" xfId="0" applyFont="1" applyBorder="1" applyAlignment="1">
      <alignment horizontal="center" vertical="top" wrapText="1"/>
    </xf>
    <xf numFmtId="0" fontId="17" fillId="0" borderId="31" xfId="0" applyFont="1" applyBorder="1" applyAlignment="1">
      <alignment horizontal="center" vertical="top" wrapText="1"/>
    </xf>
    <xf numFmtId="0" fontId="8" fillId="0" borderId="31" xfId="0" applyFont="1" applyBorder="1" applyAlignment="1">
      <alignment horizontal="center" vertical="top" wrapText="1"/>
    </xf>
    <xf numFmtId="0" fontId="8" fillId="0" borderId="40" xfId="0" applyFont="1" applyBorder="1" applyAlignment="1">
      <alignment horizontal="center" vertical="top" wrapText="1"/>
    </xf>
    <xf numFmtId="0" fontId="9" fillId="0" borderId="5" xfId="0" applyFont="1" applyFill="1" applyBorder="1" applyAlignment="1">
      <alignment horizontal="center" vertical="center" wrapText="1"/>
    </xf>
    <xf numFmtId="180" fontId="0" fillId="0" borderId="41" xfId="0" applyNumberFormat="1" applyFont="1" applyFill="1" applyBorder="1" applyAlignment="1">
      <alignment horizontal="center"/>
    </xf>
    <xf numFmtId="0" fontId="5" fillId="0" borderId="7" xfId="21" applyFont="1" applyFill="1" applyBorder="1" applyAlignment="1">
      <alignment horizontal="right" vertical="center" wrapText="1"/>
      <protection/>
    </xf>
    <xf numFmtId="0" fontId="8" fillId="0" borderId="32" xfId="0" applyFont="1" applyFill="1" applyBorder="1" applyAlignment="1">
      <alignment horizontal="justify" vertical="top" wrapText="1"/>
    </xf>
    <xf numFmtId="0" fontId="21" fillId="0" borderId="7" xfId="0" applyNumberFormat="1" applyFont="1" applyBorder="1" applyAlignment="1">
      <alignment horizontal="center"/>
    </xf>
    <xf numFmtId="0" fontId="28" fillId="7" borderId="0" xfId="0" applyFont="1" applyFill="1" applyBorder="1" applyAlignment="1">
      <alignment horizontal="justify" vertical="top" wrapText="1"/>
    </xf>
    <xf numFmtId="0" fontId="28" fillId="7" borderId="0" xfId="0" applyFont="1" applyFill="1" applyBorder="1" applyAlignment="1">
      <alignment horizontal="left" vertical="top"/>
    </xf>
    <xf numFmtId="0" fontId="0" fillId="7" borderId="0" xfId="0" applyFont="1" applyFill="1" applyAlignment="1">
      <alignment/>
    </xf>
    <xf numFmtId="0" fontId="27" fillId="7" borderId="0" xfId="0" applyFont="1" applyFill="1" applyAlignment="1">
      <alignment/>
    </xf>
    <xf numFmtId="0" fontId="27" fillId="7" borderId="0" xfId="0" applyFont="1" applyFill="1" applyAlignment="1">
      <alignment horizontal="center" vertical="center"/>
    </xf>
    <xf numFmtId="0" fontId="27" fillId="7" borderId="0" xfId="0" applyNumberFormat="1" applyFont="1" applyFill="1" applyBorder="1" applyAlignment="1">
      <alignment horizontal="center" vertical="center"/>
    </xf>
    <xf numFmtId="0" fontId="29" fillId="7" borderId="0" xfId="0" applyNumberFormat="1" applyFont="1" applyFill="1" applyBorder="1" applyAlignment="1">
      <alignment horizontal="center"/>
    </xf>
    <xf numFmtId="0" fontId="27" fillId="7" borderId="0" xfId="0" applyNumberFormat="1" applyFont="1" applyFill="1" applyBorder="1" applyAlignment="1">
      <alignment/>
    </xf>
    <xf numFmtId="0" fontId="27" fillId="7" borderId="0" xfId="0" applyNumberFormat="1" applyFont="1" applyFill="1" applyAlignment="1">
      <alignment/>
    </xf>
    <xf numFmtId="0" fontId="27" fillId="7" borderId="0" xfId="0" applyNumberFormat="1" applyFont="1" applyFill="1" applyBorder="1" applyAlignment="1">
      <alignment horizontal="center"/>
    </xf>
    <xf numFmtId="0" fontId="27" fillId="7" borderId="0" xfId="0" applyFont="1" applyFill="1" applyBorder="1" applyAlignment="1">
      <alignment horizontal="center"/>
    </xf>
    <xf numFmtId="0" fontId="27" fillId="7" borderId="0" xfId="0" applyNumberFormat="1" applyFont="1" applyFill="1" applyBorder="1" applyAlignment="1">
      <alignment/>
    </xf>
    <xf numFmtId="0" fontId="0" fillId="7" borderId="0" xfId="0" applyNumberFormat="1" applyFill="1" applyBorder="1" applyAlignment="1">
      <alignment/>
    </xf>
    <xf numFmtId="0" fontId="0" fillId="7" borderId="0" xfId="0" applyNumberFormat="1" applyFill="1" applyAlignment="1">
      <alignment/>
    </xf>
    <xf numFmtId="0" fontId="27" fillId="7" borderId="0" xfId="0" applyFont="1" applyFill="1" applyBorder="1" applyAlignment="1">
      <alignment/>
    </xf>
    <xf numFmtId="0" fontId="0" fillId="0" borderId="7" xfId="0" applyNumberFormat="1" applyBorder="1" applyAlignment="1">
      <alignment horizontal="center"/>
    </xf>
    <xf numFmtId="0" fontId="8" fillId="0" borderId="25" xfId="0" applyFont="1" applyBorder="1" applyAlignment="1">
      <alignment vertical="top" wrapText="1"/>
    </xf>
    <xf numFmtId="1" fontId="0" fillId="0" borderId="0" xfId="0" applyNumberFormat="1" applyFont="1" applyFill="1" applyBorder="1" applyAlignment="1">
      <alignment horizontal="center"/>
    </xf>
    <xf numFmtId="1" fontId="0" fillId="0" borderId="31" xfId="0" applyNumberFormat="1" applyFont="1" applyFill="1" applyBorder="1" applyAlignment="1">
      <alignment horizontal="center"/>
    </xf>
    <xf numFmtId="1" fontId="0" fillId="0" borderId="41" xfId="0" applyNumberFormat="1" applyFont="1" applyFill="1" applyBorder="1" applyAlignment="1">
      <alignment horizontal="center"/>
    </xf>
    <xf numFmtId="1" fontId="0" fillId="0" borderId="29" xfId="0" applyNumberFormat="1" applyFont="1" applyFill="1" applyBorder="1" applyAlignment="1">
      <alignment horizontal="center"/>
    </xf>
    <xf numFmtId="1" fontId="0" fillId="0" borderId="42" xfId="0" applyNumberFormat="1" applyFont="1" applyFill="1" applyBorder="1" applyAlignment="1">
      <alignment horizontal="center"/>
    </xf>
    <xf numFmtId="1" fontId="0" fillId="0" borderId="34" xfId="0" applyNumberFormat="1" applyFont="1" applyFill="1" applyBorder="1" applyAlignment="1">
      <alignment horizontal="center"/>
    </xf>
    <xf numFmtId="1" fontId="0" fillId="0" borderId="43" xfId="0" applyNumberFormat="1" applyFont="1" applyFill="1" applyBorder="1" applyAlignment="1">
      <alignment horizontal="center"/>
    </xf>
    <xf numFmtId="0" fontId="5" fillId="0" borderId="44"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45" xfId="0" applyFont="1" applyFill="1" applyBorder="1" applyAlignment="1">
      <alignment horizontal="left" vertical="top" wrapText="1"/>
    </xf>
    <xf numFmtId="0" fontId="23" fillId="9" borderId="10" xfId="21" applyFont="1" applyFill="1" applyBorder="1" applyAlignment="1">
      <alignment horizontal="center" vertical="center"/>
      <protection/>
    </xf>
    <xf numFmtId="0" fontId="23" fillId="9" borderId="15" xfId="21" applyFont="1" applyFill="1" applyBorder="1" applyAlignment="1">
      <alignment horizontal="center" vertical="center"/>
      <protection/>
    </xf>
    <xf numFmtId="0" fontId="23" fillId="9" borderId="25" xfId="21" applyFont="1" applyFill="1" applyBorder="1" applyAlignment="1">
      <alignment horizontal="center" vertical="center"/>
      <protection/>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20" fillId="4" borderId="0" xfId="0" applyFont="1" applyFill="1" applyAlignment="1">
      <alignment horizontal="justify" vertical="top" wrapText="1"/>
    </xf>
    <xf numFmtId="0" fontId="8" fillId="0" borderId="0" xfId="0" applyNumberFormat="1" applyFont="1" applyBorder="1" applyAlignment="1">
      <alignment horizontal="left" vertical="top" wrapText="1"/>
    </xf>
    <xf numFmtId="0" fontId="0" fillId="0" borderId="0" xfId="0" applyAlignment="1">
      <alignment horizontal="left" vertical="top" wrapText="1"/>
    </xf>
    <xf numFmtId="0" fontId="6" fillId="0" borderId="10" xfId="0" applyNumberFormat="1" applyFont="1" applyBorder="1" applyAlignment="1">
      <alignment horizontal="center"/>
    </xf>
    <xf numFmtId="0" fontId="6" fillId="0" borderId="15" xfId="0" applyNumberFormat="1" applyFont="1" applyBorder="1" applyAlignment="1">
      <alignment horizontal="center"/>
    </xf>
    <xf numFmtId="0" fontId="6" fillId="0" borderId="25" xfId="0" applyNumberFormat="1" applyFont="1" applyBorder="1" applyAlignment="1">
      <alignment horizontal="center"/>
    </xf>
    <xf numFmtId="1" fontId="0" fillId="0" borderId="24" xfId="0" applyNumberFormat="1" applyFont="1" applyFill="1" applyBorder="1" applyAlignment="1">
      <alignment horizontal="center"/>
    </xf>
    <xf numFmtId="1" fontId="0" fillId="0" borderId="11" xfId="0" applyNumberFormat="1" applyFont="1" applyFill="1" applyBorder="1" applyAlignment="1">
      <alignment horizontal="center"/>
    </xf>
    <xf numFmtId="0" fontId="8" fillId="0" borderId="10" xfId="0" applyFont="1" applyBorder="1" applyAlignment="1">
      <alignment horizontal="justify" vertical="top" wrapText="1"/>
    </xf>
    <xf numFmtId="0" fontId="8" fillId="0" borderId="15" xfId="0" applyFont="1" applyBorder="1" applyAlignment="1">
      <alignment horizontal="justify" vertical="top" wrapText="1"/>
    </xf>
    <xf numFmtId="0" fontId="8" fillId="0" borderId="25" xfId="0" applyFont="1" applyBorder="1" applyAlignment="1">
      <alignment horizontal="justify" vertical="top" wrapText="1"/>
    </xf>
    <xf numFmtId="0" fontId="4" fillId="4" borderId="0" xfId="0" applyFont="1" applyFill="1" applyBorder="1" applyAlignment="1">
      <alignment horizontal="left" vertical="top"/>
    </xf>
    <xf numFmtId="0" fontId="0" fillId="0" borderId="0" xfId="0" applyAlignment="1">
      <alignment horizontal="left"/>
    </xf>
    <xf numFmtId="0" fontId="22" fillId="4" borderId="0" xfId="21" applyFont="1" applyFill="1" applyAlignment="1">
      <alignment horizontal="left" vertical="center" wrapText="1"/>
      <protection/>
    </xf>
    <xf numFmtId="0" fontId="8" fillId="4" borderId="0" xfId="21" applyFont="1" applyFill="1" applyAlignment="1">
      <alignment horizontal="left" vertical="center" wrapText="1"/>
      <protection/>
    </xf>
    <xf numFmtId="0" fontId="23" fillId="0" borderId="10" xfId="21" applyFont="1" applyFill="1" applyBorder="1" applyAlignment="1" applyProtection="1">
      <alignment horizontal="center" vertical="center"/>
      <protection locked="0"/>
    </xf>
    <xf numFmtId="0" fontId="23" fillId="0" borderId="15" xfId="21" applyFont="1" applyFill="1" applyBorder="1" applyAlignment="1" applyProtection="1">
      <alignment horizontal="center" vertical="center"/>
      <protection locked="0"/>
    </xf>
    <xf numFmtId="0" fontId="23" fillId="0" borderId="25" xfId="21" applyFont="1" applyFill="1" applyBorder="1" applyAlignment="1" applyProtection="1">
      <alignment horizontal="center" vertical="center"/>
      <protection locked="0"/>
    </xf>
    <xf numFmtId="0" fontId="23" fillId="0" borderId="41" xfId="21" applyFont="1" applyFill="1" applyBorder="1" applyAlignment="1" applyProtection="1">
      <alignment horizontal="center" vertical="center"/>
      <protection locked="0"/>
    </xf>
    <xf numFmtId="0" fontId="23" fillId="0" borderId="11" xfId="21" applyFont="1" applyFill="1" applyBorder="1" applyAlignment="1" applyProtection="1">
      <alignment horizontal="center" vertical="center"/>
      <protection locked="0"/>
    </xf>
    <xf numFmtId="0" fontId="5" fillId="4" borderId="0" xfId="0" applyFont="1" applyFill="1" applyBorder="1" applyAlignment="1">
      <alignment horizontal="justify" vertical="top" wrapText="1"/>
    </xf>
    <xf numFmtId="0" fontId="8" fillId="4" borderId="0" xfId="0" applyFont="1" applyFill="1" applyAlignment="1">
      <alignment horizontal="justify" vertical="top" wrapText="1"/>
    </xf>
    <xf numFmtId="0" fontId="8" fillId="0" borderId="7" xfId="0" applyFont="1" applyBorder="1" applyAlignment="1">
      <alignment horizontal="justify" vertical="top" wrapText="1"/>
    </xf>
    <xf numFmtId="0" fontId="6" fillId="0" borderId="10" xfId="0" applyNumberFormat="1" applyFont="1" applyFill="1" applyBorder="1" applyAlignment="1">
      <alignment horizontal="center"/>
    </xf>
    <xf numFmtId="0" fontId="6" fillId="0" borderId="25" xfId="0" applyNumberFormat="1" applyFont="1" applyFill="1" applyBorder="1" applyAlignment="1">
      <alignment horizontal="center"/>
    </xf>
    <xf numFmtId="0" fontId="8" fillId="4" borderId="0" xfId="0" applyFont="1" applyFill="1" applyBorder="1" applyAlignment="1">
      <alignment horizontal="left" vertical="top" wrapText="1"/>
    </xf>
    <xf numFmtId="0" fontId="32" fillId="4" borderId="0" xfId="0" applyFont="1" applyFill="1" applyBorder="1" applyAlignment="1">
      <alignment horizontal="left" vertical="top" wrapText="1"/>
    </xf>
    <xf numFmtId="0" fontId="0" fillId="6" borderId="46" xfId="0" applyFill="1" applyBorder="1" applyAlignment="1">
      <alignment horizontal="center"/>
    </xf>
    <xf numFmtId="0" fontId="0" fillId="6" borderId="48" xfId="0" applyFill="1" applyBorder="1" applyAlignment="1">
      <alignment horizontal="center"/>
    </xf>
    <xf numFmtId="0" fontId="0" fillId="6" borderId="47" xfId="0" applyFill="1" applyBorder="1" applyAlignment="1">
      <alignment horizontal="center"/>
    </xf>
    <xf numFmtId="0" fontId="8" fillId="4" borderId="0" xfId="0" applyFont="1" applyFill="1" applyBorder="1" applyAlignment="1">
      <alignment horizontal="center" vertical="top" wrapText="1"/>
    </xf>
    <xf numFmtId="0" fontId="0" fillId="3" borderId="10" xfId="0" applyFill="1" applyBorder="1" applyAlignment="1">
      <alignment horizontal="center"/>
    </xf>
    <xf numFmtId="0" fontId="0" fillId="3" borderId="25" xfId="0" applyFill="1" applyBorder="1" applyAlignment="1">
      <alignment horizontal="center"/>
    </xf>
    <xf numFmtId="0" fontId="26" fillId="4" borderId="0" xfId="0" applyFont="1" applyFill="1" applyBorder="1" applyAlignment="1">
      <alignment horizontal="center" wrapText="1"/>
    </xf>
    <xf numFmtId="0" fontId="25" fillId="4" borderId="0" xfId="0" applyFont="1" applyFill="1" applyAlignment="1">
      <alignment/>
    </xf>
    <xf numFmtId="0" fontId="25" fillId="4" borderId="0" xfId="0" applyFont="1" applyFill="1" applyBorder="1" applyAlignment="1">
      <alignment/>
    </xf>
    <xf numFmtId="0" fontId="25" fillId="4" borderId="0" xfId="0" applyFont="1" applyFill="1" applyAlignment="1">
      <alignment horizontal="center" wrapText="1"/>
    </xf>
    <xf numFmtId="0" fontId="25" fillId="4" borderId="0" xfId="0"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4" fillId="4" borderId="0" xfId="0" applyFont="1" applyFill="1" applyBorder="1" applyAlignment="1">
      <alignment horizontal="center" vertical="center" wrapText="1"/>
    </xf>
    <xf numFmtId="0" fontId="6" fillId="4" borderId="0" xfId="0" applyFont="1" applyFill="1" applyBorder="1" applyAlignment="1">
      <alignment horizontal="center" vertical="top" wrapText="1"/>
    </xf>
    <xf numFmtId="0" fontId="1" fillId="4" borderId="0" xfId="0" applyFont="1" applyFill="1" applyBorder="1" applyAlignment="1">
      <alignment horizontal="center" wrapText="1"/>
    </xf>
    <xf numFmtId="0" fontId="1" fillId="4" borderId="27" xfId="0" applyFont="1" applyFill="1" applyBorder="1" applyAlignment="1">
      <alignment horizontal="center" wrapText="1"/>
    </xf>
    <xf numFmtId="0" fontId="6" fillId="0" borderId="10" xfId="0" applyFont="1" applyBorder="1" applyAlignment="1">
      <alignment horizontal="center" vertical="top" wrapText="1"/>
    </xf>
    <xf numFmtId="0" fontId="6" fillId="0" borderId="15" xfId="0" applyFont="1" applyBorder="1" applyAlignment="1">
      <alignment horizontal="center" vertical="top" wrapText="1"/>
    </xf>
    <xf numFmtId="0" fontId="6" fillId="0" borderId="25" xfId="0" applyFont="1" applyBorder="1" applyAlignment="1">
      <alignment horizontal="center" vertical="top" wrapText="1"/>
    </xf>
    <xf numFmtId="0" fontId="0" fillId="4" borderId="46" xfId="0" applyFill="1" applyBorder="1" applyAlignment="1">
      <alignment horizontal="center"/>
    </xf>
    <xf numFmtId="0" fontId="0" fillId="4" borderId="47" xfId="0" applyFill="1" applyBorder="1" applyAlignment="1">
      <alignment horizontal="center"/>
    </xf>
    <xf numFmtId="0" fontId="0" fillId="4" borderId="48" xfId="0" applyFill="1" applyBorder="1" applyAlignment="1">
      <alignment horizontal="center"/>
    </xf>
    <xf numFmtId="0" fontId="0" fillId="4" borderId="0" xfId="0" applyFill="1" applyBorder="1" applyAlignment="1">
      <alignment horizontal="center"/>
    </xf>
  </cellXfs>
  <cellStyles count="9">
    <cellStyle name="Normal" xfId="0"/>
    <cellStyle name="Hyperlink" xfId="15"/>
    <cellStyle name="Followed Hyperlink" xfId="16"/>
    <cellStyle name="Comma" xfId="17"/>
    <cellStyle name="Comma [0]" xfId="18"/>
    <cellStyle name="Currency" xfId="19"/>
    <cellStyle name="Currency [0]" xfId="20"/>
    <cellStyle name="Normal_Hoja Toma de datos de Llaves Dinamométrica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Gráfica de errores</a:t>
            </a:r>
          </a:p>
        </c:rich>
      </c:tx>
      <c:layout/>
      <c:spPr>
        <a:noFill/>
        <a:ln>
          <a:noFill/>
        </a:ln>
      </c:spPr>
    </c:title>
    <c:plotArea>
      <c:layout/>
      <c:lineChart>
        <c:grouping val="standard"/>
        <c:varyColors val="0"/>
        <c:ser>
          <c:idx val="0"/>
          <c:order val="0"/>
          <c:tx>
            <c:v> q %</c:v>
          </c:tx>
          <c:extLst>
            <c:ext xmlns:c14="http://schemas.microsoft.com/office/drawing/2007/8/2/chart" uri="{6F2FDCE9-48DA-4B69-8628-5D25D57E5C99}">
              <c14:invertSolidFillFmt>
                <c14:spPr>
                  <a:solidFill>
                    <a:srgbClr val="000000"/>
                  </a:solidFill>
                </c14:spPr>
              </c14:invertSolidFillFmt>
            </c:ext>
          </c:extLst>
          <c:marker>
            <c:symbol val="none"/>
          </c:marker>
          <c:val>
            <c:numRef>
              <c:f>'Toma datos 1'!$M$12:$M$20</c:f>
              <c:numCache/>
            </c:numRef>
          </c:val>
          <c:smooth val="0"/>
        </c:ser>
        <c:ser>
          <c:idx val="1"/>
          <c:order val="1"/>
          <c:tx>
            <c:v>b %</c:v>
          </c:tx>
          <c:extLst>
            <c:ext xmlns:c14="http://schemas.microsoft.com/office/drawing/2007/8/2/chart" uri="{6F2FDCE9-48DA-4B69-8628-5D25D57E5C99}">
              <c14:invertSolidFillFmt>
                <c14:spPr>
                  <a:solidFill>
                    <a:srgbClr val="000000"/>
                  </a:solidFill>
                </c14:spPr>
              </c14:invertSolidFillFmt>
            </c:ext>
          </c:extLst>
          <c:marker>
            <c:symbol val="none"/>
          </c:marker>
          <c:val>
            <c:numRef>
              <c:f>'Toma datos 1'!$N$12:$N$18</c:f>
              <c:numCache/>
            </c:numRef>
          </c:val>
          <c:smooth val="0"/>
        </c:ser>
        <c:ser>
          <c:idx val="2"/>
          <c:order val="2"/>
          <c:tx>
            <c:v>max clase 0,5</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Auxiliar!$K$2:$K$13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3"/>
          <c:order val="3"/>
          <c:tx>
            <c:v>max clase 1</c:v>
          </c:tx>
          <c:spPr>
            <a:ln w="381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Auxiliar!$L$2:$L$13</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4"/>
          <c:order val="4"/>
          <c:tx>
            <c:v>max clase 2</c:v>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Auxiliar!$M$2:$M$13</c:f>
              <c:numCache>
                <c:ptCount val="12"/>
                <c:pt idx="0">
                  <c:v>2</c:v>
                </c:pt>
                <c:pt idx="1">
                  <c:v>2</c:v>
                </c:pt>
                <c:pt idx="2">
                  <c:v>2</c:v>
                </c:pt>
                <c:pt idx="3">
                  <c:v>2</c:v>
                </c:pt>
                <c:pt idx="4">
                  <c:v>2</c:v>
                </c:pt>
                <c:pt idx="5">
                  <c:v>2</c:v>
                </c:pt>
                <c:pt idx="6">
                  <c:v>2</c:v>
                </c:pt>
                <c:pt idx="7">
                  <c:v>2</c:v>
                </c:pt>
                <c:pt idx="8">
                  <c:v>2</c:v>
                </c:pt>
                <c:pt idx="9">
                  <c:v>2</c:v>
                </c:pt>
                <c:pt idx="10">
                  <c:v>2</c:v>
                </c:pt>
                <c:pt idx="11">
                  <c:v>2</c:v>
                </c:pt>
              </c:numCache>
            </c:numRef>
          </c:val>
          <c:smooth val="0"/>
        </c:ser>
        <c:ser>
          <c:idx val="5"/>
          <c:order val="5"/>
          <c:tx>
            <c:v>max clase 3</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Auxiliar!$N$2:$N$13</c:f>
              <c:numCache>
                <c:ptCount val="12"/>
                <c:pt idx="0">
                  <c:v>3</c:v>
                </c:pt>
                <c:pt idx="1">
                  <c:v>3</c:v>
                </c:pt>
                <c:pt idx="2">
                  <c:v>3</c:v>
                </c:pt>
                <c:pt idx="3">
                  <c:v>3</c:v>
                </c:pt>
                <c:pt idx="4">
                  <c:v>3</c:v>
                </c:pt>
                <c:pt idx="5">
                  <c:v>3</c:v>
                </c:pt>
                <c:pt idx="6">
                  <c:v>3</c:v>
                </c:pt>
                <c:pt idx="7">
                  <c:v>3</c:v>
                </c:pt>
                <c:pt idx="8">
                  <c:v>3</c:v>
                </c:pt>
                <c:pt idx="9">
                  <c:v>3</c:v>
                </c:pt>
                <c:pt idx="10">
                  <c:v>3</c:v>
                </c:pt>
                <c:pt idx="11">
                  <c:v>3</c:v>
                </c:pt>
              </c:numCache>
            </c:numRef>
          </c:val>
          <c:smooth val="0"/>
        </c:ser>
        <c:axId val="57067444"/>
        <c:axId val="43844949"/>
      </c:lineChart>
      <c:catAx>
        <c:axId val="57067444"/>
        <c:scaling>
          <c:orientation val="minMax"/>
        </c:scaling>
        <c:axPos val="b"/>
        <c:title>
          <c:tx>
            <c:rich>
              <a:bodyPr vert="horz" rot="0" anchor="ctr"/>
              <a:lstStyle/>
              <a:p>
                <a:pPr algn="ctr">
                  <a:defRPr/>
                </a:pPr>
                <a:r>
                  <a:rPr lang="en-US" cap="none" sz="1000" b="1" i="0" u="none" baseline="0">
                    <a:latin typeface="Arial"/>
                    <a:ea typeface="Arial"/>
                    <a:cs typeface="Arial"/>
                  </a:rPr>
                  <a:t>carga </a:t>
                </a:r>
              </a:p>
            </c:rich>
          </c:tx>
          <c:layout/>
          <c:overlay val="0"/>
          <c:spPr>
            <a:noFill/>
            <a:ln>
              <a:noFill/>
            </a:ln>
          </c:spPr>
        </c:title>
        <c:delete val="0"/>
        <c:numFmt formatCode="General" sourceLinked="1"/>
        <c:majorTickMark val="out"/>
        <c:minorTickMark val="none"/>
        <c:tickLblPos val="nextTo"/>
        <c:crossAx val="43844949"/>
        <c:crossesAt val="0"/>
        <c:auto val="1"/>
        <c:lblOffset val="100"/>
        <c:noMultiLvlLbl val="0"/>
      </c:catAx>
      <c:valAx>
        <c:axId val="43844949"/>
        <c:scaling>
          <c:orientation val="minMax"/>
          <c:max val="3.5"/>
          <c:min val="-3.5"/>
        </c:scaling>
        <c:axPos val="l"/>
        <c:title>
          <c:tx>
            <c:rich>
              <a:bodyPr vert="horz" rot="-5400000" anchor="ctr"/>
              <a:lstStyle/>
              <a:p>
                <a:pPr algn="ctr">
                  <a:defRPr/>
                </a:pPr>
                <a:r>
                  <a:rPr lang="en-US" cap="none" sz="1000" b="1" i="0" u="none" baseline="0">
                    <a:latin typeface="Arial"/>
                    <a:ea typeface="Arial"/>
                    <a:cs typeface="Arial"/>
                  </a:rPr>
                  <a:t>error (%)</a:t>
                </a:r>
              </a:p>
            </c:rich>
          </c:tx>
          <c:layout/>
          <c:overlay val="0"/>
          <c:spPr>
            <a:noFill/>
            <a:ln>
              <a:noFill/>
            </a:ln>
          </c:spPr>
        </c:title>
        <c:delete val="0"/>
        <c:numFmt formatCode="General" sourceLinked="1"/>
        <c:majorTickMark val="out"/>
        <c:minorTickMark val="none"/>
        <c:tickLblPos val="nextTo"/>
        <c:crossAx val="5706744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7</xdr:col>
      <xdr:colOff>723900</xdr:colOff>
      <xdr:row>0</xdr:row>
      <xdr:rowOff>0</xdr:rowOff>
    </xdr:to>
    <xdr:sp>
      <xdr:nvSpPr>
        <xdr:cNvPr id="1" name="Line 1"/>
        <xdr:cNvSpPr>
          <a:spLocks/>
        </xdr:cNvSpPr>
      </xdr:nvSpPr>
      <xdr:spPr>
        <a:xfrm>
          <a:off x="171450" y="0"/>
          <a:ext cx="61055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0</xdr:rowOff>
    </xdr:from>
    <xdr:to>
      <xdr:col>7</xdr:col>
      <xdr:colOff>723900</xdr:colOff>
      <xdr:row>38</xdr:row>
      <xdr:rowOff>0</xdr:rowOff>
    </xdr:to>
    <xdr:sp>
      <xdr:nvSpPr>
        <xdr:cNvPr id="2" name="Line 6"/>
        <xdr:cNvSpPr>
          <a:spLocks/>
        </xdr:cNvSpPr>
      </xdr:nvSpPr>
      <xdr:spPr>
        <a:xfrm>
          <a:off x="123825" y="7572375"/>
          <a:ext cx="6153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46</xdr:row>
      <xdr:rowOff>28575</xdr:rowOff>
    </xdr:from>
    <xdr:to>
      <xdr:col>8</xdr:col>
      <xdr:colOff>0</xdr:colOff>
      <xdr:row>46</xdr:row>
      <xdr:rowOff>28575</xdr:rowOff>
    </xdr:to>
    <xdr:sp>
      <xdr:nvSpPr>
        <xdr:cNvPr id="3" name="Line 7"/>
        <xdr:cNvSpPr>
          <a:spLocks/>
        </xdr:cNvSpPr>
      </xdr:nvSpPr>
      <xdr:spPr>
        <a:xfrm>
          <a:off x="152400" y="9124950"/>
          <a:ext cx="6124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12</xdr:row>
      <xdr:rowOff>0</xdr:rowOff>
    </xdr:from>
    <xdr:to>
      <xdr:col>6</xdr:col>
      <xdr:colOff>695325</xdr:colOff>
      <xdr:row>12</xdr:row>
      <xdr:rowOff>0</xdr:rowOff>
    </xdr:to>
    <xdr:sp>
      <xdr:nvSpPr>
        <xdr:cNvPr id="4" name="Rectangle 9"/>
        <xdr:cNvSpPr>
          <a:spLocks/>
        </xdr:cNvSpPr>
      </xdr:nvSpPr>
      <xdr:spPr>
        <a:xfrm>
          <a:off x="5305425" y="222885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12</xdr:row>
      <xdr:rowOff>0</xdr:rowOff>
    </xdr:from>
    <xdr:to>
      <xdr:col>2</xdr:col>
      <xdr:colOff>581025</xdr:colOff>
      <xdr:row>12</xdr:row>
      <xdr:rowOff>0</xdr:rowOff>
    </xdr:to>
    <xdr:sp>
      <xdr:nvSpPr>
        <xdr:cNvPr id="5" name="Rectangle 10"/>
        <xdr:cNvSpPr>
          <a:spLocks/>
        </xdr:cNvSpPr>
      </xdr:nvSpPr>
      <xdr:spPr>
        <a:xfrm>
          <a:off x="1476375" y="222885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12</xdr:row>
      <xdr:rowOff>0</xdr:rowOff>
    </xdr:from>
    <xdr:to>
      <xdr:col>3</xdr:col>
      <xdr:colOff>581025</xdr:colOff>
      <xdr:row>12</xdr:row>
      <xdr:rowOff>0</xdr:rowOff>
    </xdr:to>
    <xdr:sp>
      <xdr:nvSpPr>
        <xdr:cNvPr id="6" name="Rectangle 11"/>
        <xdr:cNvSpPr>
          <a:spLocks/>
        </xdr:cNvSpPr>
      </xdr:nvSpPr>
      <xdr:spPr>
        <a:xfrm>
          <a:off x="2495550" y="2228850"/>
          <a:ext cx="85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12</xdr:row>
      <xdr:rowOff>0</xdr:rowOff>
    </xdr:from>
    <xdr:to>
      <xdr:col>4</xdr:col>
      <xdr:colOff>542925</xdr:colOff>
      <xdr:row>12</xdr:row>
      <xdr:rowOff>0</xdr:rowOff>
    </xdr:to>
    <xdr:sp>
      <xdr:nvSpPr>
        <xdr:cNvPr id="7" name="Rectangle 12"/>
        <xdr:cNvSpPr>
          <a:spLocks/>
        </xdr:cNvSpPr>
      </xdr:nvSpPr>
      <xdr:spPr>
        <a:xfrm>
          <a:off x="3362325" y="2228850"/>
          <a:ext cx="57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12</xdr:row>
      <xdr:rowOff>0</xdr:rowOff>
    </xdr:from>
    <xdr:to>
      <xdr:col>2</xdr:col>
      <xdr:colOff>581025</xdr:colOff>
      <xdr:row>12</xdr:row>
      <xdr:rowOff>0</xdr:rowOff>
    </xdr:to>
    <xdr:sp>
      <xdr:nvSpPr>
        <xdr:cNvPr id="8" name="Rectangle 13"/>
        <xdr:cNvSpPr>
          <a:spLocks/>
        </xdr:cNvSpPr>
      </xdr:nvSpPr>
      <xdr:spPr>
        <a:xfrm>
          <a:off x="1476375" y="222885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12</xdr:row>
      <xdr:rowOff>0</xdr:rowOff>
    </xdr:from>
    <xdr:to>
      <xdr:col>3</xdr:col>
      <xdr:colOff>581025</xdr:colOff>
      <xdr:row>12</xdr:row>
      <xdr:rowOff>0</xdr:rowOff>
    </xdr:to>
    <xdr:sp>
      <xdr:nvSpPr>
        <xdr:cNvPr id="9" name="Rectangle 14"/>
        <xdr:cNvSpPr>
          <a:spLocks/>
        </xdr:cNvSpPr>
      </xdr:nvSpPr>
      <xdr:spPr>
        <a:xfrm>
          <a:off x="2495550" y="2228850"/>
          <a:ext cx="85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12</xdr:row>
      <xdr:rowOff>0</xdr:rowOff>
    </xdr:from>
    <xdr:to>
      <xdr:col>4</xdr:col>
      <xdr:colOff>542925</xdr:colOff>
      <xdr:row>12</xdr:row>
      <xdr:rowOff>0</xdr:rowOff>
    </xdr:to>
    <xdr:sp>
      <xdr:nvSpPr>
        <xdr:cNvPr id="10" name="Rectangle 15"/>
        <xdr:cNvSpPr>
          <a:spLocks/>
        </xdr:cNvSpPr>
      </xdr:nvSpPr>
      <xdr:spPr>
        <a:xfrm>
          <a:off x="3362325" y="2228850"/>
          <a:ext cx="571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12</xdr:row>
      <xdr:rowOff>0</xdr:rowOff>
    </xdr:from>
    <xdr:to>
      <xdr:col>6</xdr:col>
      <xdr:colOff>695325</xdr:colOff>
      <xdr:row>12</xdr:row>
      <xdr:rowOff>0</xdr:rowOff>
    </xdr:to>
    <xdr:sp>
      <xdr:nvSpPr>
        <xdr:cNvPr id="11" name="Rectangle 16"/>
        <xdr:cNvSpPr>
          <a:spLocks/>
        </xdr:cNvSpPr>
      </xdr:nvSpPr>
      <xdr:spPr>
        <a:xfrm>
          <a:off x="5305425" y="222885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12</xdr:row>
      <xdr:rowOff>0</xdr:rowOff>
    </xdr:from>
    <xdr:to>
      <xdr:col>6</xdr:col>
      <xdr:colOff>695325</xdr:colOff>
      <xdr:row>12</xdr:row>
      <xdr:rowOff>0</xdr:rowOff>
    </xdr:to>
    <xdr:sp>
      <xdr:nvSpPr>
        <xdr:cNvPr id="12" name="Rectangle 17"/>
        <xdr:cNvSpPr>
          <a:spLocks/>
        </xdr:cNvSpPr>
      </xdr:nvSpPr>
      <xdr:spPr>
        <a:xfrm>
          <a:off x="5305425" y="2228850"/>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50</xdr:row>
      <xdr:rowOff>152400</xdr:rowOff>
    </xdr:from>
    <xdr:to>
      <xdr:col>7</xdr:col>
      <xdr:colOff>723900</xdr:colOff>
      <xdr:row>50</xdr:row>
      <xdr:rowOff>152400</xdr:rowOff>
    </xdr:to>
    <xdr:sp>
      <xdr:nvSpPr>
        <xdr:cNvPr id="13" name="Line 18"/>
        <xdr:cNvSpPr>
          <a:spLocks/>
        </xdr:cNvSpPr>
      </xdr:nvSpPr>
      <xdr:spPr>
        <a:xfrm>
          <a:off x="161925" y="9972675"/>
          <a:ext cx="61150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0</xdr:row>
      <xdr:rowOff>0</xdr:rowOff>
    </xdr:from>
    <xdr:to>
      <xdr:col>7</xdr:col>
      <xdr:colOff>723900</xdr:colOff>
      <xdr:row>0</xdr:row>
      <xdr:rowOff>0</xdr:rowOff>
    </xdr:to>
    <xdr:sp>
      <xdr:nvSpPr>
        <xdr:cNvPr id="14" name="Line 24"/>
        <xdr:cNvSpPr>
          <a:spLocks/>
        </xdr:cNvSpPr>
      </xdr:nvSpPr>
      <xdr:spPr>
        <a:xfrm>
          <a:off x="180975" y="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38</xdr:row>
      <xdr:rowOff>0</xdr:rowOff>
    </xdr:from>
    <xdr:to>
      <xdr:col>7</xdr:col>
      <xdr:colOff>723900</xdr:colOff>
      <xdr:row>38</xdr:row>
      <xdr:rowOff>0</xdr:rowOff>
    </xdr:to>
    <xdr:sp>
      <xdr:nvSpPr>
        <xdr:cNvPr id="15" name="Line 27"/>
        <xdr:cNvSpPr>
          <a:spLocks/>
        </xdr:cNvSpPr>
      </xdr:nvSpPr>
      <xdr:spPr>
        <a:xfrm>
          <a:off x="123825" y="7572375"/>
          <a:ext cx="6153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38</xdr:row>
      <xdr:rowOff>9525</xdr:rowOff>
    </xdr:from>
    <xdr:to>
      <xdr:col>8</xdr:col>
      <xdr:colOff>0</xdr:colOff>
      <xdr:row>38</xdr:row>
      <xdr:rowOff>9525</xdr:rowOff>
    </xdr:to>
    <xdr:sp>
      <xdr:nvSpPr>
        <xdr:cNvPr id="16" name="Line 28"/>
        <xdr:cNvSpPr>
          <a:spLocks/>
        </xdr:cNvSpPr>
      </xdr:nvSpPr>
      <xdr:spPr>
        <a:xfrm>
          <a:off x="123825" y="7581900"/>
          <a:ext cx="6153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24</xdr:row>
      <xdr:rowOff>0</xdr:rowOff>
    </xdr:from>
    <xdr:to>
      <xdr:col>15</xdr:col>
      <xdr:colOff>1123950</xdr:colOff>
      <xdr:row>34</xdr:row>
      <xdr:rowOff>295275</xdr:rowOff>
    </xdr:to>
    <xdr:graphicFrame>
      <xdr:nvGraphicFramePr>
        <xdr:cNvPr id="1" name="Chart 36"/>
        <xdr:cNvGraphicFramePr/>
      </xdr:nvGraphicFramePr>
      <xdr:xfrm>
        <a:off x="8172450" y="5181600"/>
        <a:ext cx="4791075" cy="3095625"/>
      </xdr:xfrm>
      <a:graphic>
        <a:graphicData uri="http://schemas.openxmlformats.org/drawingml/2006/chart">
          <c:chart xmlns:c="http://schemas.openxmlformats.org/drawingml/2006/chart" r:id="rId1"/>
        </a:graphicData>
      </a:graphic>
    </xdr:graphicFrame>
    <xdr:clientData/>
  </xdr:twoCellAnchor>
  <xdr:twoCellAnchor>
    <xdr:from>
      <xdr:col>4</xdr:col>
      <xdr:colOff>409575</xdr:colOff>
      <xdr:row>49</xdr:row>
      <xdr:rowOff>47625</xdr:rowOff>
    </xdr:from>
    <xdr:to>
      <xdr:col>6</xdr:col>
      <xdr:colOff>28575</xdr:colOff>
      <xdr:row>52</xdr:row>
      <xdr:rowOff>38100</xdr:rowOff>
    </xdr:to>
    <xdr:sp>
      <xdr:nvSpPr>
        <xdr:cNvPr id="2" name="Line 48"/>
        <xdr:cNvSpPr>
          <a:spLocks/>
        </xdr:cNvSpPr>
      </xdr:nvSpPr>
      <xdr:spPr>
        <a:xfrm>
          <a:off x="3390900" y="11001375"/>
          <a:ext cx="140970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49</xdr:row>
      <xdr:rowOff>38100</xdr:rowOff>
    </xdr:from>
    <xdr:to>
      <xdr:col>8</xdr:col>
      <xdr:colOff>485775</xdr:colOff>
      <xdr:row>52</xdr:row>
      <xdr:rowOff>9525</xdr:rowOff>
    </xdr:to>
    <xdr:sp>
      <xdr:nvSpPr>
        <xdr:cNvPr id="3" name="Line 50"/>
        <xdr:cNvSpPr>
          <a:spLocks/>
        </xdr:cNvSpPr>
      </xdr:nvSpPr>
      <xdr:spPr>
        <a:xfrm flipH="1">
          <a:off x="4914900" y="10991850"/>
          <a:ext cx="16859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49</xdr:row>
      <xdr:rowOff>0</xdr:rowOff>
    </xdr:from>
    <xdr:to>
      <xdr:col>10</xdr:col>
      <xdr:colOff>381000</xdr:colOff>
      <xdr:row>52</xdr:row>
      <xdr:rowOff>28575</xdr:rowOff>
    </xdr:to>
    <xdr:sp>
      <xdr:nvSpPr>
        <xdr:cNvPr id="4" name="Line 51"/>
        <xdr:cNvSpPr>
          <a:spLocks/>
        </xdr:cNvSpPr>
      </xdr:nvSpPr>
      <xdr:spPr>
        <a:xfrm flipH="1">
          <a:off x="4800600" y="10953750"/>
          <a:ext cx="334327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48</xdr:row>
      <xdr:rowOff>152400</xdr:rowOff>
    </xdr:from>
    <xdr:to>
      <xdr:col>6</xdr:col>
      <xdr:colOff>276225</xdr:colOff>
      <xdr:row>52</xdr:row>
      <xdr:rowOff>19050</xdr:rowOff>
    </xdr:to>
    <xdr:sp>
      <xdr:nvSpPr>
        <xdr:cNvPr id="5" name="Line 52"/>
        <xdr:cNvSpPr>
          <a:spLocks/>
        </xdr:cNvSpPr>
      </xdr:nvSpPr>
      <xdr:spPr>
        <a:xfrm flipH="1">
          <a:off x="4810125" y="10934700"/>
          <a:ext cx="2381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74"/>
  <sheetViews>
    <sheetView zoomScale="80" zoomScaleNormal="80" workbookViewId="0" topLeftCell="A18">
      <selection activeCell="J14" sqref="J14"/>
    </sheetView>
  </sheetViews>
  <sheetFormatPr defaultColWidth="11.421875" defaultRowHeight="12.75"/>
  <cols>
    <col min="1" max="1" width="1.8515625" style="0" customWidth="1"/>
    <col min="2" max="2" width="13.421875" style="0" customWidth="1"/>
    <col min="3" max="3" width="14.7109375" style="0" customWidth="1"/>
    <col min="4" max="4" width="13.140625" style="0" customWidth="1"/>
    <col min="5" max="5" width="14.140625" style="0" customWidth="1"/>
    <col min="6" max="6" width="13.57421875" style="0" customWidth="1"/>
    <col min="7" max="7" width="12.421875" style="0" customWidth="1"/>
    <col min="8" max="8" width="10.8515625" style="0" customWidth="1"/>
    <col min="12" max="12" width="12.421875" style="0" customWidth="1"/>
  </cols>
  <sheetData>
    <row r="1" spans="1:23" ht="19.5">
      <c r="A1" s="30"/>
      <c r="B1" s="151" t="s">
        <v>164</v>
      </c>
      <c r="C1" s="30"/>
      <c r="D1" s="30"/>
      <c r="E1" s="30"/>
      <c r="F1" s="30"/>
      <c r="G1" s="30"/>
      <c r="H1" s="30"/>
      <c r="I1" s="30"/>
      <c r="J1" s="30"/>
      <c r="K1" s="154"/>
      <c r="L1" s="154"/>
      <c r="M1" s="154"/>
      <c r="N1" s="154"/>
      <c r="O1" s="154"/>
      <c r="P1" s="154"/>
      <c r="Q1" s="154"/>
      <c r="R1" s="154"/>
      <c r="S1" s="154"/>
      <c r="T1" s="154"/>
      <c r="U1" s="154"/>
      <c r="V1" s="154"/>
      <c r="W1" s="154"/>
    </row>
    <row r="2" spans="1:23" ht="20.25" thickBot="1">
      <c r="A2" s="30"/>
      <c r="B2" s="151" t="s">
        <v>163</v>
      </c>
      <c r="C2" s="30"/>
      <c r="D2" s="30"/>
      <c r="E2" s="30"/>
      <c r="F2" s="30"/>
      <c r="G2" s="30"/>
      <c r="H2" s="30"/>
      <c r="I2" s="30"/>
      <c r="J2" s="30"/>
      <c r="K2" s="154"/>
      <c r="L2" s="154"/>
      <c r="M2" s="154"/>
      <c r="N2" s="154"/>
      <c r="O2" s="154"/>
      <c r="P2" s="154"/>
      <c r="Q2" s="154"/>
      <c r="R2" s="154"/>
      <c r="S2" s="154"/>
      <c r="T2" s="154"/>
      <c r="U2" s="154"/>
      <c r="V2" s="154"/>
      <c r="W2" s="154"/>
    </row>
    <row r="3" spans="1:23" ht="13.5" thickBot="1">
      <c r="A3" s="30"/>
      <c r="B3" s="69" t="s">
        <v>106</v>
      </c>
      <c r="C3" s="290" t="s">
        <v>158</v>
      </c>
      <c r="D3" s="291">
        <v>2</v>
      </c>
      <c r="E3" s="291"/>
      <c r="F3" s="291"/>
      <c r="G3" s="291"/>
      <c r="H3" s="291"/>
      <c r="I3" s="292"/>
      <c r="J3" s="61"/>
      <c r="K3" s="154"/>
      <c r="L3" s="154"/>
      <c r="M3" s="154"/>
      <c r="N3" s="154"/>
      <c r="O3" s="154"/>
      <c r="P3" s="154"/>
      <c r="Q3" s="154"/>
      <c r="R3" s="154"/>
      <c r="S3" s="154"/>
      <c r="T3" s="154"/>
      <c r="U3" s="154"/>
      <c r="V3" s="154"/>
      <c r="W3" s="154"/>
    </row>
    <row r="4" spans="1:23" ht="15.75">
      <c r="A4" s="30"/>
      <c r="B4" s="306"/>
      <c r="C4" s="307"/>
      <c r="D4" s="307"/>
      <c r="E4" s="82"/>
      <c r="F4" s="82"/>
      <c r="G4" s="82"/>
      <c r="H4" s="82"/>
      <c r="I4" s="82"/>
      <c r="J4" s="82"/>
      <c r="K4" s="222"/>
      <c r="L4" s="222"/>
      <c r="M4" s="222"/>
      <c r="N4" s="222"/>
      <c r="O4" s="222"/>
      <c r="P4" s="154"/>
      <c r="Q4" s="154"/>
      <c r="R4" s="154"/>
      <c r="S4" s="154"/>
      <c r="T4" s="154"/>
      <c r="U4" s="154"/>
      <c r="V4" s="154"/>
      <c r="W4" s="154"/>
    </row>
    <row r="5" spans="1:23" ht="13.5">
      <c r="A5" s="30"/>
      <c r="B5" s="108" t="s">
        <v>89</v>
      </c>
      <c r="C5" s="88" t="s">
        <v>153</v>
      </c>
      <c r="D5" s="80" t="s">
        <v>90</v>
      </c>
      <c r="E5" s="83"/>
      <c r="F5" s="254">
        <v>1</v>
      </c>
      <c r="G5" s="84" t="s">
        <v>23</v>
      </c>
      <c r="H5" s="89">
        <v>1</v>
      </c>
      <c r="I5" s="30"/>
      <c r="J5" s="30"/>
      <c r="K5" s="154"/>
      <c r="L5" s="154"/>
      <c r="M5" s="154"/>
      <c r="N5" s="154"/>
      <c r="O5" s="154"/>
      <c r="P5" s="154"/>
      <c r="Q5" s="154"/>
      <c r="R5" s="154"/>
      <c r="S5" s="154"/>
      <c r="T5" s="154"/>
      <c r="U5" s="154"/>
      <c r="V5" s="154"/>
      <c r="W5" s="154"/>
    </row>
    <row r="6" spans="1:23" ht="12.75">
      <c r="A6" s="30"/>
      <c r="B6" s="92"/>
      <c r="C6" s="81"/>
      <c r="D6" s="81"/>
      <c r="E6" s="85"/>
      <c r="F6" s="85"/>
      <c r="G6" s="81"/>
      <c r="H6" s="81"/>
      <c r="I6" s="81"/>
      <c r="J6" s="81"/>
      <c r="K6" s="223"/>
      <c r="L6" s="223"/>
      <c r="M6" s="223"/>
      <c r="N6" s="223"/>
      <c r="O6" s="223"/>
      <c r="P6" s="154"/>
      <c r="Q6" s="154"/>
      <c r="R6" s="154"/>
      <c r="S6" s="154"/>
      <c r="T6" s="154"/>
      <c r="U6" s="154"/>
      <c r="V6" s="154"/>
      <c r="W6" s="154"/>
    </row>
    <row r="7" spans="1:23" ht="12.75">
      <c r="A7" s="30"/>
      <c r="B7" s="93" t="s">
        <v>91</v>
      </c>
      <c r="C7" s="308" t="s">
        <v>154</v>
      </c>
      <c r="D7" s="309"/>
      <c r="E7" s="309"/>
      <c r="F7" s="310"/>
      <c r="G7" s="91"/>
      <c r="H7" s="81"/>
      <c r="I7" s="81"/>
      <c r="J7" s="81"/>
      <c r="K7" s="223"/>
      <c r="L7" s="223"/>
      <c r="M7" s="223"/>
      <c r="N7" s="223"/>
      <c r="O7" s="223"/>
      <c r="P7" s="154"/>
      <c r="Q7" s="154"/>
      <c r="R7" s="154"/>
      <c r="S7" s="154"/>
      <c r="T7" s="154"/>
      <c r="U7" s="154"/>
      <c r="V7" s="154"/>
      <c r="W7" s="154"/>
    </row>
    <row r="8" spans="1:23" ht="12.75">
      <c r="A8" s="30"/>
      <c r="B8" s="86" t="s">
        <v>92</v>
      </c>
      <c r="C8" s="308" t="s">
        <v>155</v>
      </c>
      <c r="D8" s="309"/>
      <c r="E8" s="309"/>
      <c r="F8" s="310"/>
      <c r="G8" s="30"/>
      <c r="H8" s="30"/>
      <c r="I8" s="30"/>
      <c r="J8" s="30"/>
      <c r="K8" s="154"/>
      <c r="L8" s="154"/>
      <c r="M8" s="154"/>
      <c r="N8" s="154"/>
      <c r="O8" s="154"/>
      <c r="P8" s="154"/>
      <c r="Q8" s="154"/>
      <c r="R8" s="154"/>
      <c r="S8" s="154"/>
      <c r="T8" s="154"/>
      <c r="U8" s="154"/>
      <c r="V8" s="154"/>
      <c r="W8" s="154"/>
    </row>
    <row r="9" spans="1:23" ht="12.75">
      <c r="A9" s="30"/>
      <c r="B9" s="86" t="s">
        <v>93</v>
      </c>
      <c r="C9" s="311" t="s">
        <v>156</v>
      </c>
      <c r="D9" s="312"/>
      <c r="E9" s="87" t="s">
        <v>94</v>
      </c>
      <c r="F9" s="311" t="s">
        <v>157</v>
      </c>
      <c r="G9" s="310"/>
      <c r="H9" s="30"/>
      <c r="I9" s="30"/>
      <c r="J9" s="30"/>
      <c r="K9" s="154"/>
      <c r="L9" s="154"/>
      <c r="M9" s="154"/>
      <c r="N9" s="154"/>
      <c r="O9" s="154"/>
      <c r="P9" s="154"/>
      <c r="Q9" s="154"/>
      <c r="R9" s="154"/>
      <c r="S9" s="154"/>
      <c r="T9" s="154"/>
      <c r="U9" s="154"/>
      <c r="V9" s="154"/>
      <c r="W9" s="154"/>
    </row>
    <row r="10" spans="1:23" ht="12.75">
      <c r="A10" s="30"/>
      <c r="B10" s="87" t="s">
        <v>95</v>
      </c>
      <c r="C10" s="90">
        <v>41700</v>
      </c>
      <c r="D10" s="30"/>
      <c r="E10" s="30"/>
      <c r="F10" s="30"/>
      <c r="G10" s="30"/>
      <c r="H10" s="30"/>
      <c r="I10" s="30"/>
      <c r="J10" s="30"/>
      <c r="K10" s="154"/>
      <c r="L10" s="154"/>
      <c r="M10" s="154"/>
      <c r="N10" s="154"/>
      <c r="O10" s="154"/>
      <c r="P10" s="154"/>
      <c r="Q10" s="154"/>
      <c r="R10" s="154"/>
      <c r="S10" s="154"/>
      <c r="T10" s="154"/>
      <c r="U10" s="154"/>
      <c r="V10" s="154"/>
      <c r="W10" s="154"/>
    </row>
    <row r="11" spans="1:23" ht="12.75">
      <c r="A11" s="30"/>
      <c r="B11" s="30"/>
      <c r="C11" s="30"/>
      <c r="D11" s="30"/>
      <c r="E11" s="30"/>
      <c r="F11" s="30"/>
      <c r="G11" s="30"/>
      <c r="H11" s="30"/>
      <c r="I11" s="30"/>
      <c r="J11" s="30"/>
      <c r="K11" s="160"/>
      <c r="L11" s="154"/>
      <c r="M11" s="154"/>
      <c r="N11" s="154"/>
      <c r="O11" s="154"/>
      <c r="P11" s="154"/>
      <c r="Q11" s="154"/>
      <c r="R11" s="154"/>
      <c r="S11" s="154"/>
      <c r="T11" s="154"/>
      <c r="U11" s="154"/>
      <c r="V11" s="154"/>
      <c r="W11" s="154"/>
    </row>
    <row r="12" spans="1:23" ht="16.5">
      <c r="A12" s="30"/>
      <c r="B12" s="35" t="s">
        <v>17</v>
      </c>
      <c r="C12" s="29"/>
      <c r="D12" s="29"/>
      <c r="E12" s="29"/>
      <c r="F12" s="29"/>
      <c r="G12" s="29"/>
      <c r="H12" s="29"/>
      <c r="I12" s="30"/>
      <c r="J12" s="30"/>
      <c r="K12" s="160"/>
      <c r="L12" s="154"/>
      <c r="M12" s="154"/>
      <c r="N12" s="154"/>
      <c r="O12" s="154"/>
      <c r="P12" s="154"/>
      <c r="Q12" s="154"/>
      <c r="R12" s="154"/>
      <c r="S12" s="154"/>
      <c r="T12" s="154"/>
      <c r="U12" s="154"/>
      <c r="V12" s="154"/>
      <c r="W12" s="154"/>
    </row>
    <row r="13" spans="1:23" ht="15.75">
      <c r="A13" s="30"/>
      <c r="B13" s="34" t="s">
        <v>3</v>
      </c>
      <c r="C13" s="301" t="s">
        <v>159</v>
      </c>
      <c r="D13" s="302"/>
      <c r="E13" s="303"/>
      <c r="F13" s="34" t="s">
        <v>67</v>
      </c>
      <c r="G13" s="40" t="s">
        <v>161</v>
      </c>
      <c r="H13" s="37"/>
      <c r="I13" s="30"/>
      <c r="J13" s="30"/>
      <c r="K13" s="257"/>
      <c r="L13" s="218"/>
      <c r="M13" s="218"/>
      <c r="N13" s="160"/>
      <c r="O13" s="160"/>
      <c r="P13" s="160"/>
      <c r="Q13" s="160"/>
      <c r="R13" s="160"/>
      <c r="S13" s="160"/>
      <c r="T13" s="160"/>
      <c r="U13" s="160"/>
      <c r="V13" s="160"/>
      <c r="W13" s="154"/>
    </row>
    <row r="14" spans="1:23" ht="13.5" customHeight="1">
      <c r="A14" s="30"/>
      <c r="B14" s="34" t="s">
        <v>4</v>
      </c>
      <c r="C14" s="301" t="s">
        <v>160</v>
      </c>
      <c r="D14" s="302"/>
      <c r="E14" s="303"/>
      <c r="F14" s="313" t="s">
        <v>68</v>
      </c>
      <c r="G14" s="313"/>
      <c r="H14" s="39">
        <v>10000</v>
      </c>
      <c r="I14" s="30"/>
      <c r="J14" s="30"/>
      <c r="K14" s="257"/>
      <c r="L14" s="218"/>
      <c r="M14" s="218"/>
      <c r="N14" s="160"/>
      <c r="O14" s="160"/>
      <c r="P14" s="160"/>
      <c r="Q14" s="160"/>
      <c r="R14" s="160"/>
      <c r="S14" s="160"/>
      <c r="T14" s="160"/>
      <c r="U14" s="160"/>
      <c r="V14" s="160"/>
      <c r="W14" s="154"/>
    </row>
    <row r="15" spans="1:23" s="133" customFormat="1" ht="17.25" customHeight="1" thickBot="1">
      <c r="A15" s="130"/>
      <c r="B15" s="131" t="s">
        <v>113</v>
      </c>
      <c r="C15" s="132"/>
      <c r="D15" s="255">
        <v>1</v>
      </c>
      <c r="E15" s="37"/>
      <c r="F15" s="34"/>
      <c r="G15" s="34"/>
      <c r="H15" s="37"/>
      <c r="I15" s="33"/>
      <c r="J15" s="33"/>
      <c r="K15" s="258"/>
      <c r="L15" s="258"/>
      <c r="M15" s="218"/>
      <c r="N15" s="160"/>
      <c r="O15" s="160"/>
      <c r="P15" s="160"/>
      <c r="Q15" s="160"/>
      <c r="R15" s="160"/>
      <c r="S15" s="160"/>
      <c r="T15" s="160"/>
      <c r="U15" s="160"/>
      <c r="V15" s="160"/>
      <c r="W15" s="219"/>
    </row>
    <row r="16" spans="1:22" s="1" customFormat="1" ht="13.5" customHeight="1">
      <c r="A16" s="33"/>
      <c r="B16" s="123" t="s">
        <v>114</v>
      </c>
      <c r="C16" s="37"/>
      <c r="D16" s="281" t="s">
        <v>162</v>
      </c>
      <c r="E16" s="282"/>
      <c r="F16" s="282"/>
      <c r="G16" s="282"/>
      <c r="H16" s="282"/>
      <c r="I16" s="282"/>
      <c r="J16" s="283"/>
      <c r="K16" s="258"/>
      <c r="L16" s="258"/>
      <c r="M16" s="218"/>
      <c r="N16" s="160"/>
      <c r="O16" s="160"/>
      <c r="P16" s="160"/>
      <c r="Q16" s="160"/>
      <c r="R16" s="160"/>
      <c r="S16" s="160"/>
      <c r="T16" s="160"/>
      <c r="U16" s="160"/>
      <c r="V16" s="160"/>
    </row>
    <row r="17" spans="1:22" s="1" customFormat="1" ht="13.5" customHeight="1" thickBot="1">
      <c r="A17" s="33"/>
      <c r="B17" s="122"/>
      <c r="C17" s="37"/>
      <c r="D17" s="284"/>
      <c r="E17" s="285"/>
      <c r="F17" s="285"/>
      <c r="G17" s="285"/>
      <c r="H17" s="285"/>
      <c r="I17" s="285"/>
      <c r="J17" s="286"/>
      <c r="K17" s="258"/>
      <c r="L17" s="258"/>
      <c r="M17" s="218"/>
      <c r="N17" s="160"/>
      <c r="O17" s="160"/>
      <c r="P17" s="160"/>
      <c r="Q17" s="160"/>
      <c r="R17" s="160"/>
      <c r="S17" s="160"/>
      <c r="T17" s="160"/>
      <c r="U17" s="160"/>
      <c r="V17" s="160"/>
    </row>
    <row r="18" spans="1:22" ht="15.75" customHeight="1">
      <c r="A18" s="30"/>
      <c r="B18" s="293" t="s">
        <v>69</v>
      </c>
      <c r="C18" s="293"/>
      <c r="D18" s="293"/>
      <c r="E18" s="314"/>
      <c r="F18" s="314"/>
      <c r="G18" s="36"/>
      <c r="H18" s="37"/>
      <c r="I18" s="30"/>
      <c r="J18" s="30"/>
      <c r="K18" s="154"/>
      <c r="L18" s="160"/>
      <c r="M18" s="218"/>
      <c r="N18" s="160"/>
      <c r="O18" s="160"/>
      <c r="P18" s="160"/>
      <c r="Q18" s="160"/>
      <c r="R18" s="160"/>
      <c r="S18" s="160"/>
      <c r="T18" s="160"/>
      <c r="U18" s="160"/>
      <c r="V18" s="160"/>
    </row>
    <row r="19" spans="1:22" ht="15.75">
      <c r="A19" s="30"/>
      <c r="B19" s="38" t="s">
        <v>3</v>
      </c>
      <c r="C19" s="301"/>
      <c r="D19" s="302"/>
      <c r="E19" s="303"/>
      <c r="F19" s="38" t="s">
        <v>67</v>
      </c>
      <c r="G19" s="39"/>
      <c r="H19" s="30"/>
      <c r="I19" s="30"/>
      <c r="J19" s="30"/>
      <c r="K19" s="259"/>
      <c r="L19" s="218"/>
      <c r="M19" s="218"/>
      <c r="N19" s="160"/>
      <c r="O19" s="160"/>
      <c r="P19" s="160"/>
      <c r="Q19" s="160"/>
      <c r="R19" s="160"/>
      <c r="S19" s="160"/>
      <c r="T19" s="160"/>
      <c r="U19" s="160"/>
      <c r="V19" s="160"/>
    </row>
    <row r="20" spans="1:22" ht="15.75">
      <c r="A20" s="30"/>
      <c r="B20" s="38" t="s">
        <v>4</v>
      </c>
      <c r="C20" s="315"/>
      <c r="D20" s="315"/>
      <c r="E20" s="315"/>
      <c r="F20" s="38" t="s">
        <v>70</v>
      </c>
      <c r="G20" s="72" t="str">
        <f>IF(I20=1,"analógico","digital")</f>
        <v>digital</v>
      </c>
      <c r="H20" s="30"/>
      <c r="I20" s="137">
        <v>2</v>
      </c>
      <c r="J20" s="137"/>
      <c r="K20" s="218"/>
      <c r="L20" s="218"/>
      <c r="M20" s="218"/>
      <c r="N20" s="160"/>
      <c r="O20" s="160"/>
      <c r="P20" s="160"/>
      <c r="Q20" s="160"/>
      <c r="R20" s="160"/>
      <c r="S20" s="160"/>
      <c r="T20" s="160"/>
      <c r="U20" s="160"/>
      <c r="V20" s="160"/>
    </row>
    <row r="21" spans="1:22" ht="14.25" customHeight="1">
      <c r="A21" s="110" t="s">
        <v>63</v>
      </c>
      <c r="B21" s="30"/>
      <c r="C21" s="29"/>
      <c r="D21" s="42">
        <v>2</v>
      </c>
      <c r="E21" s="42">
        <f>IF(D21=2,"","Indique de que tipo:")</f>
      </c>
      <c r="F21" s="29"/>
      <c r="G21" s="152" t="str">
        <f>IF(H21=1,"registrador","aguja de máxima")</f>
        <v>aguja de máxima</v>
      </c>
      <c r="H21" s="109">
        <v>2</v>
      </c>
      <c r="I21" s="30"/>
      <c r="J21" s="30"/>
      <c r="K21" s="218"/>
      <c r="L21" s="218"/>
      <c r="M21" s="218"/>
      <c r="N21" s="160"/>
      <c r="O21" s="160"/>
      <c r="P21" s="160"/>
      <c r="Q21" s="160"/>
      <c r="R21" s="160"/>
      <c r="S21" s="160"/>
      <c r="T21" s="160"/>
      <c r="U21" s="160"/>
      <c r="V21" s="160"/>
    </row>
    <row r="22" spans="1:22" ht="12.75">
      <c r="A22" s="30"/>
      <c r="B22" s="30"/>
      <c r="C22" s="29"/>
      <c r="D22" s="109"/>
      <c r="E22" s="29"/>
      <c r="F22" s="29"/>
      <c r="G22" s="29"/>
      <c r="H22" s="42"/>
      <c r="I22" s="30"/>
      <c r="J22" s="30"/>
      <c r="K22" s="260"/>
      <c r="L22" s="218"/>
      <c r="M22" s="218"/>
      <c r="N22" s="160"/>
      <c r="O22" s="160"/>
      <c r="P22" s="160"/>
      <c r="Q22" s="160"/>
      <c r="R22" s="160"/>
      <c r="S22" s="160"/>
      <c r="T22" s="160"/>
      <c r="U22" s="160"/>
      <c r="V22" s="160"/>
    </row>
    <row r="23" spans="1:22" s="147" customFormat="1" ht="21.75" customHeight="1">
      <c r="A23" s="149" t="s">
        <v>122</v>
      </c>
      <c r="B23" s="148"/>
      <c r="C23" s="45"/>
      <c r="D23" s="150">
        <v>5</v>
      </c>
      <c r="E23" s="45"/>
      <c r="F23" s="45"/>
      <c r="G23" s="45"/>
      <c r="H23" s="45"/>
      <c r="I23" s="146"/>
      <c r="J23" s="146"/>
      <c r="K23" s="261"/>
      <c r="L23" s="262"/>
      <c r="M23" s="221"/>
      <c r="N23" s="220"/>
      <c r="O23" s="220"/>
      <c r="P23" s="220"/>
      <c r="Q23" s="220"/>
      <c r="R23" s="220"/>
      <c r="S23" s="220"/>
      <c r="T23" s="220"/>
      <c r="U23" s="220"/>
      <c r="V23" s="220"/>
    </row>
    <row r="24" spans="1:22" ht="15" customHeight="1">
      <c r="A24" s="304" t="s">
        <v>117</v>
      </c>
      <c r="B24" s="305"/>
      <c r="C24" s="138">
        <v>3</v>
      </c>
      <c r="D24" s="34"/>
      <c r="E24" s="318" t="str">
        <f>IF(C24=2,"Indique cuantas escalas:",IF(C24=3,"indique cuantos cambios:",""))</f>
        <v>indique cuantos cambios:</v>
      </c>
      <c r="F24" s="318"/>
      <c r="G24" s="134">
        <v>4</v>
      </c>
      <c r="H24" s="30"/>
      <c r="I24" s="30"/>
      <c r="J24" s="30"/>
      <c r="K24" s="263"/>
      <c r="L24" s="264"/>
      <c r="M24" s="218"/>
      <c r="N24" s="160"/>
      <c r="O24" s="160"/>
      <c r="P24" s="160"/>
      <c r="Q24" s="160"/>
      <c r="R24" s="160"/>
      <c r="S24" s="160"/>
      <c r="T24" s="160"/>
      <c r="U24" s="160"/>
      <c r="V24" s="160"/>
    </row>
    <row r="25" spans="1:22" ht="15.75">
      <c r="A25" s="33"/>
      <c r="B25" s="36"/>
      <c r="C25" s="314"/>
      <c r="D25" s="314"/>
      <c r="E25" s="46"/>
      <c r="F25" s="319">
        <f>IF(C24=2,"*Nota: Indique en escala 1 la que se vaya a calibrar","")</f>
      </c>
      <c r="G25" s="319"/>
      <c r="H25" s="319"/>
      <c r="I25" s="319"/>
      <c r="J25" s="319"/>
      <c r="K25" s="264"/>
      <c r="L25" s="264"/>
      <c r="M25" s="218"/>
      <c r="N25" s="160"/>
      <c r="O25" s="160"/>
      <c r="P25" s="160"/>
      <c r="Q25" s="160"/>
      <c r="R25" s="160"/>
      <c r="S25" s="160"/>
      <c r="T25" s="160"/>
      <c r="U25" s="160"/>
      <c r="V25" s="160"/>
    </row>
    <row r="26" spans="1:22" ht="36" customHeight="1" thickBot="1">
      <c r="A26" s="30"/>
      <c r="B26" s="43"/>
      <c r="C26" s="143" t="s">
        <v>76</v>
      </c>
      <c r="D26" s="143" t="s">
        <v>77</v>
      </c>
      <c r="E26" s="44" t="s">
        <v>119</v>
      </c>
      <c r="F26" s="44" t="s">
        <v>78</v>
      </c>
      <c r="G26" s="45" t="s">
        <v>79</v>
      </c>
      <c r="H26" s="30"/>
      <c r="I26" s="144" t="s">
        <v>120</v>
      </c>
      <c r="J26" s="144" t="s">
        <v>121</v>
      </c>
      <c r="K26" s="264"/>
      <c r="L26" s="264"/>
      <c r="M26" s="218"/>
      <c r="N26" s="160"/>
      <c r="O26" s="160"/>
      <c r="P26" s="160"/>
      <c r="Q26" s="160"/>
      <c r="R26" s="160"/>
      <c r="S26" s="160"/>
      <c r="T26" s="160"/>
      <c r="U26" s="160"/>
      <c r="V26" s="160"/>
    </row>
    <row r="27" spans="1:22" ht="17.25" customHeight="1" thickBot="1">
      <c r="A27" s="30"/>
      <c r="B27" s="41" t="s">
        <v>80</v>
      </c>
      <c r="C27" s="72">
        <v>0</v>
      </c>
      <c r="D27" s="72">
        <v>4000</v>
      </c>
      <c r="E27" s="142">
        <f>IF('Toma datos'!G27="KN",F27,IF('Toma datos'!G27="N",F27*10^-3,IF('Toma datos'!G27="Kgf",F27*'Toma datos 1'!$J$1/1000,IF('Toma datos'!G27="Tnf",F27*'Toma datos 1'!$J$1,IF('Toma datos'!G27&lt;&gt;"KN","Pasar a KN")))))</f>
        <v>0.0001</v>
      </c>
      <c r="F27" s="72">
        <v>0.1</v>
      </c>
      <c r="G27" s="73" t="str">
        <f>IF(H27=1,"KN",IF(H27=2,"N",IF(H27=3,"Kgf",IF(H27=4,"Tnf","Indique unidad"))))</f>
        <v>N</v>
      </c>
      <c r="H27" s="145">
        <v>2</v>
      </c>
      <c r="I27" s="97">
        <f>IF('Toma datos'!$G$27="KN",C27,IF('Toma datos'!$G$27="N",C27/1000,IF('Toma datos'!$G$27="Kgf",C27*'Toma datos 1'!$J$1/1000,IF('Toma datos'!$G$27="Tnf",C27*'Toma datos 1'!$J$1,IF('Toma datos'!$G$27&lt;&gt;"KN","Pasar a KN")))))</f>
        <v>0</v>
      </c>
      <c r="J27" s="97">
        <f>IF('Toma datos'!G27="KN",D27,IF('Toma datos'!$G$27="N",D27/1000,IF('Toma datos'!G27="Kgf",D27*'Toma datos 1'!$J$1/1000,IF('Toma datos'!G27="Tnf",D27*'Toma datos 1'!$J$1,IF('Toma datos'!G27&lt;&gt;"KN","Pasar a KN")))))</f>
        <v>4</v>
      </c>
      <c r="K27" s="264"/>
      <c r="L27" s="264"/>
      <c r="M27" s="218"/>
      <c r="N27" s="160"/>
      <c r="O27" s="160"/>
      <c r="P27" s="160"/>
      <c r="Q27" s="160"/>
      <c r="R27" s="160"/>
      <c r="S27" s="160"/>
      <c r="T27" s="160"/>
      <c r="U27" s="160"/>
      <c r="V27" s="160"/>
    </row>
    <row r="28" spans="1:22" ht="16.5" customHeight="1" thickBot="1">
      <c r="A28" s="30"/>
      <c r="B28" s="41" t="str">
        <f>IF($C$24=1,"","Escala 2")</f>
        <v>Escala 2</v>
      </c>
      <c r="C28" s="72">
        <v>4000</v>
      </c>
      <c r="D28" s="72">
        <v>6000</v>
      </c>
      <c r="E28" s="142">
        <f>IF(B28="","",IF('Toma datos'!G28="KN",F28,IF('Toma datos'!G28="N",F28*10^-3,IF('Toma datos'!G28="Kgf",F28*'Toma datos 1'!$J$1/1000,IF('Toma datos'!G28="Tnf",F28*'Toma datos 1'!$J$1,IF('Toma datos'!G28&lt;&gt;"KN","Pasar a KN"))))))</f>
        <v>0.0001</v>
      </c>
      <c r="F28" s="72">
        <v>0.1</v>
      </c>
      <c r="G28" s="73" t="str">
        <f>IF(H28=1,"KN",IF(H28=2,"N",IF(H28=3,"Kgf",IF(H28=4,"Tnf","Indique unidad"))))</f>
        <v>N</v>
      </c>
      <c r="H28" s="145">
        <v>2</v>
      </c>
      <c r="I28" s="97">
        <f>IF(B28="","",IF('Toma datos'!G28="KN",C28,IF('Toma datos'!$G$28="N",C28/1000,IF('Toma datos'!G28="Kgf",C28*'Toma datos 1'!$J$1/1000,IF('Toma datos'!G28="Tnf",C28*'Toma datos 1'!$J$1,IF('Toma datos'!G28&lt;&gt;"KN","Pasar a KN"))))))</f>
        <v>4</v>
      </c>
      <c r="J28" s="97">
        <f>IF(B28="","",IF('Toma datos'!G28="KN",D28,IF('Toma datos'!$G$28="N",D28/1000,IF('Toma datos'!G28="Kgf",D28*'Toma datos 1'!$J$1/1000,IF('Toma datos'!G28="Tnf",D28*'Toma datos 1'!$J$1,IF('Toma datos'!G28&lt;&gt;"KN","Pasar a KN"))))))</f>
        <v>6</v>
      </c>
      <c r="K28" s="264"/>
      <c r="L28" s="264"/>
      <c r="M28" s="218"/>
      <c r="N28" s="160"/>
      <c r="O28" s="160"/>
      <c r="P28" s="160"/>
      <c r="Q28" s="160"/>
      <c r="R28" s="160"/>
      <c r="S28" s="160"/>
      <c r="T28" s="160"/>
      <c r="U28" s="160"/>
      <c r="V28" s="160"/>
    </row>
    <row r="29" spans="1:22" ht="18" customHeight="1" thickBot="1">
      <c r="A29" s="30"/>
      <c r="B29" s="41" t="str">
        <f>IF($C$24=1,"",IF(AND(OR($C$24=3,$C$24=2),$G$24&gt;2),"Escala 3",""))</f>
        <v>Escala 3</v>
      </c>
      <c r="C29" s="72">
        <v>6000</v>
      </c>
      <c r="D29" s="72">
        <v>8000</v>
      </c>
      <c r="E29" s="142">
        <f>IF(B29="","",IF('Toma datos'!G29="KN",F29,IF('Toma datos'!G29="N",F29*10^-3,IF('Toma datos'!G29="Kgf",F29*'Toma datos 1'!$J$1/1000,IF('Toma datos'!G29="Tnf",F29*'Toma datos 1'!$J$1,IF('Toma datos'!G29&lt;&gt;"KN","Pasar a KN"))))))</f>
        <v>0.0001</v>
      </c>
      <c r="F29" s="72">
        <v>0.1</v>
      </c>
      <c r="G29" s="73" t="str">
        <f>IF(H29=1,"KN",IF(H29=2,"N",IF(H29=3,"Kgf",IF(H29=4,"Tnf","Indique unidad"))))</f>
        <v>N</v>
      </c>
      <c r="H29" s="145">
        <v>2</v>
      </c>
      <c r="I29" s="97">
        <f>IF(B29="","",IF('Toma datos'!G29="KN",C29,IF('Toma datos'!$G$29="N",C29/1000,IF('Toma datos'!G29="N",C29/1000,IF('Toma datos'!G29="Kgf",C29*'Toma datos 1'!$J$1/1000,IF('Toma datos'!G29="Tnf",C29*'Toma datos 1'!$J$1,IF('Toma datos'!G29&lt;&gt;"KN","Pasar a KN")))))))</f>
        <v>6</v>
      </c>
      <c r="J29" s="97">
        <f>IF(B29="","",IF('Toma datos'!G29="KN",D29,IF('Toma datos'!$G$29="N",D29/1000,IF('Toma datos'!G29="N",D29/1000,IF('Toma datos'!G29="Kgf",D29*'Toma datos 1'!$J$1/1000,IF('Toma datos'!G29="Tnf",D29*'Toma datos 1'!$J$1,IF('Toma datos'!G29&lt;&gt;"KN","Pasar a KN")))))))</f>
        <v>8</v>
      </c>
      <c r="K29" s="264"/>
      <c r="L29" s="264"/>
      <c r="M29" s="218"/>
      <c r="N29" s="160"/>
      <c r="O29" s="160"/>
      <c r="P29" s="160"/>
      <c r="Q29" s="160"/>
      <c r="R29" s="160"/>
      <c r="S29" s="160"/>
      <c r="T29" s="160"/>
      <c r="U29" s="160"/>
      <c r="V29" s="160"/>
    </row>
    <row r="30" spans="1:22" ht="16.5" customHeight="1" thickBot="1">
      <c r="A30" s="30"/>
      <c r="B30" s="41" t="str">
        <f>IF($C$24=1,"",IF(AND(OR($C$24=3,$C$24=2),$G$24&gt;3),"Escala 4",""))</f>
        <v>Escala 4</v>
      </c>
      <c r="C30" s="72">
        <v>8000</v>
      </c>
      <c r="D30" s="72">
        <v>10000</v>
      </c>
      <c r="E30" s="142">
        <f>IF(B30="","",IF('Toma datos'!G30="KN",F30,IF('Toma datos'!G30="N",F30*10^-3,IF('Toma datos'!G30="Kgf",F30*'Toma datos 1'!$J$1/1000,IF('Toma datos'!G30="Tnf",F30*'Toma datos 1'!$J$1,IF('Toma datos'!G30&lt;&gt;"KN","Pasar a KN"))))))</f>
        <v>0.0001</v>
      </c>
      <c r="F30" s="72">
        <v>0.1</v>
      </c>
      <c r="G30" s="73" t="str">
        <f>IF(H30=1,"KN",IF(H30=2,"N",IF(H30=3,"Kgf",IF(H30=4,"Tnf","Indique unidad"))))</f>
        <v>N</v>
      </c>
      <c r="H30" s="145">
        <v>2</v>
      </c>
      <c r="I30" s="97">
        <f>IF(B30="","",IF('Toma datos'!G30="KN",C30,IF('Toma datos'!G30="N",C30/1000,IF('Toma datos'!G30="Kgf",C30*'Toma datos 1'!$J$1/1000,IF('Toma datos'!G30="Tnf",C30*'Toma datos 1'!$J$1,IF('Toma datos'!G30&lt;&gt;"KN","Pasar a KN"))))))</f>
        <v>8</v>
      </c>
      <c r="J30" s="97">
        <f>IF(B30="","",IF('Toma datos'!G30="KN",D30,IF('Toma datos'!G30="N",D30/1000,IF('Toma datos'!G30="Kgf",D30*'Toma datos 1'!$J$1/1000,IF('Toma datos'!G30="Tnf",D30*'Toma datos 1'!$J$1,IF('Toma datos'!G30&lt;&gt;"KN","Pasar a KN"))))))</f>
        <v>10</v>
      </c>
      <c r="K30" s="265"/>
      <c r="L30" s="264"/>
      <c r="M30" s="218"/>
      <c r="N30" s="160"/>
      <c r="O30" s="160"/>
      <c r="P30" s="160"/>
      <c r="Q30" s="160"/>
      <c r="R30" s="160"/>
      <c r="S30" s="160"/>
      <c r="T30" s="160"/>
      <c r="U30" s="160"/>
      <c r="V30" s="160"/>
    </row>
    <row r="31" spans="1:22" ht="14.25" customHeight="1">
      <c r="A31" s="30"/>
      <c r="B31" s="30"/>
      <c r="C31" s="30"/>
      <c r="D31" s="30"/>
      <c r="E31" s="30"/>
      <c r="F31" s="129"/>
      <c r="G31" s="31"/>
      <c r="H31" s="42"/>
      <c r="I31" s="30"/>
      <c r="J31" s="30"/>
      <c r="K31" s="264"/>
      <c r="L31" s="264"/>
      <c r="M31" s="218"/>
      <c r="N31" s="160"/>
      <c r="O31" s="160"/>
      <c r="P31" s="160"/>
      <c r="Q31" s="160"/>
      <c r="R31" s="160"/>
      <c r="S31" s="160"/>
      <c r="T31" s="160"/>
      <c r="U31" s="160"/>
      <c r="V31" s="160"/>
    </row>
    <row r="32" spans="1:22" ht="16.5">
      <c r="A32" s="30"/>
      <c r="B32" s="35" t="s">
        <v>18</v>
      </c>
      <c r="C32" s="29"/>
      <c r="D32" s="29"/>
      <c r="E32" s="29"/>
      <c r="F32" s="29"/>
      <c r="G32" s="29"/>
      <c r="H32" s="29"/>
      <c r="I32" s="30"/>
      <c r="J32" s="30"/>
      <c r="K32" s="266"/>
      <c r="L32" s="266"/>
      <c r="M32" s="218"/>
      <c r="N32" s="160"/>
      <c r="O32" s="160"/>
      <c r="P32" s="160"/>
      <c r="Q32" s="160"/>
      <c r="R32" s="160"/>
      <c r="S32" s="160"/>
      <c r="T32" s="160"/>
      <c r="U32" s="160"/>
      <c r="V32" s="160"/>
    </row>
    <row r="33" spans="1:22" ht="12.75">
      <c r="A33" s="30"/>
      <c r="B33" s="47" t="s">
        <v>11</v>
      </c>
      <c r="C33" s="29"/>
      <c r="D33" s="29"/>
      <c r="E33" s="29"/>
      <c r="F33" s="29"/>
      <c r="G33" s="29"/>
      <c r="H33" s="29"/>
      <c r="I33" s="30"/>
      <c r="J33" s="30"/>
      <c r="K33" s="267"/>
      <c r="L33" s="266"/>
      <c r="M33" s="218"/>
      <c r="N33" s="160"/>
      <c r="O33" s="160"/>
      <c r="P33" s="160"/>
      <c r="Q33" s="160"/>
      <c r="R33" s="160"/>
      <c r="S33" s="160"/>
      <c r="T33" s="160"/>
      <c r="U33" s="160"/>
      <c r="V33" s="160"/>
    </row>
    <row r="34" spans="1:22" ht="15.75">
      <c r="A34" s="30"/>
      <c r="B34" s="48" t="s">
        <v>14</v>
      </c>
      <c r="C34" s="29"/>
      <c r="D34" s="29"/>
      <c r="E34">
        <v>5</v>
      </c>
      <c r="F34" s="30"/>
      <c r="G34" s="29" t="s">
        <v>10</v>
      </c>
      <c r="H34" s="30"/>
      <c r="I34" s="256">
        <f>IF(OR(E34=1,E34=2,E34=3,E34=4),"00",0.5)</f>
        <v>0.5</v>
      </c>
      <c r="J34" s="217"/>
      <c r="K34" s="266"/>
      <c r="L34" s="266"/>
      <c r="M34" s="218"/>
      <c r="N34" s="160"/>
      <c r="O34" s="160"/>
      <c r="P34" s="160"/>
      <c r="Q34" s="160"/>
      <c r="R34" s="160"/>
      <c r="S34" s="160"/>
      <c r="T34" s="160"/>
      <c r="U34" s="160"/>
      <c r="V34" s="160"/>
    </row>
    <row r="35" spans="1:22" ht="15.75">
      <c r="A35" s="30"/>
      <c r="B35" s="49" t="s">
        <v>84</v>
      </c>
      <c r="C35" s="29"/>
      <c r="D35" s="316"/>
      <c r="E35" s="317"/>
      <c r="F35" s="29"/>
      <c r="G35" s="29"/>
      <c r="H35" s="29"/>
      <c r="I35" s="30"/>
      <c r="J35" s="30"/>
      <c r="K35" s="266"/>
      <c r="L35" s="266"/>
      <c r="M35" s="218"/>
      <c r="N35" s="160"/>
      <c r="O35" s="160"/>
      <c r="P35" s="160"/>
      <c r="Q35" s="160"/>
      <c r="R35" s="160"/>
      <c r="S35" s="160"/>
      <c r="T35" s="160"/>
      <c r="U35" s="160"/>
      <c r="V35" s="160"/>
    </row>
    <row r="36" spans="1:22" ht="15.75">
      <c r="A36" s="30"/>
      <c r="B36" s="57" t="s">
        <v>5</v>
      </c>
      <c r="C36" s="29"/>
      <c r="D36" s="29"/>
      <c r="E36" s="29"/>
      <c r="F36" s="29"/>
      <c r="G36" s="29"/>
      <c r="H36" s="29"/>
      <c r="I36" s="30"/>
      <c r="J36" s="30"/>
      <c r="K36" s="266"/>
      <c r="L36" s="266"/>
      <c r="M36" s="218"/>
      <c r="N36" s="160"/>
      <c r="O36" s="160"/>
      <c r="P36" s="160"/>
      <c r="Q36" s="160"/>
      <c r="R36" s="160"/>
      <c r="S36" s="160"/>
      <c r="T36" s="160"/>
      <c r="U36" s="160"/>
      <c r="V36" s="160"/>
    </row>
    <row r="37" spans="1:22" ht="12.75">
      <c r="A37" s="30"/>
      <c r="B37" s="296"/>
      <c r="C37" s="297"/>
      <c r="D37" s="297"/>
      <c r="E37" s="297"/>
      <c r="F37" s="297"/>
      <c r="G37" s="297"/>
      <c r="H37" s="298"/>
      <c r="I37" s="30"/>
      <c r="J37" s="30"/>
      <c r="K37" s="268"/>
      <c r="L37" s="269"/>
      <c r="M37" s="160"/>
      <c r="N37" s="160"/>
      <c r="O37" s="160"/>
      <c r="P37" s="160"/>
      <c r="Q37" s="160"/>
      <c r="R37" s="160"/>
      <c r="S37" s="160"/>
      <c r="T37" s="160"/>
      <c r="U37" s="160"/>
      <c r="V37" s="160"/>
    </row>
    <row r="38" spans="1:22" ht="12.75">
      <c r="A38" s="30"/>
      <c r="B38" s="296"/>
      <c r="C38" s="297"/>
      <c r="D38" s="297"/>
      <c r="E38" s="297"/>
      <c r="F38" s="297"/>
      <c r="G38" s="297"/>
      <c r="H38" s="298"/>
      <c r="I38" s="30"/>
      <c r="J38" s="30"/>
      <c r="K38" s="270"/>
      <c r="L38" s="269"/>
      <c r="M38" s="160"/>
      <c r="N38" s="160"/>
      <c r="O38" s="160"/>
      <c r="P38" s="160"/>
      <c r="Q38" s="160"/>
      <c r="R38" s="160"/>
      <c r="S38" s="160"/>
      <c r="T38" s="160"/>
      <c r="U38" s="160"/>
      <c r="V38" s="160"/>
    </row>
    <row r="39" spans="1:22" ht="16.5">
      <c r="A39" s="30"/>
      <c r="B39" s="35" t="s">
        <v>19</v>
      </c>
      <c r="C39" s="29"/>
      <c r="D39" s="29"/>
      <c r="E39" s="29"/>
      <c r="F39" s="29"/>
      <c r="G39" s="29"/>
      <c r="H39" s="29"/>
      <c r="I39" s="30"/>
      <c r="J39" s="30"/>
      <c r="K39" s="154"/>
      <c r="L39" s="160"/>
      <c r="M39" s="160"/>
      <c r="N39" s="160"/>
      <c r="O39" s="160"/>
      <c r="P39" s="160"/>
      <c r="Q39" s="160"/>
      <c r="R39" s="160"/>
      <c r="S39" s="160"/>
      <c r="T39" s="160"/>
      <c r="U39" s="160"/>
      <c r="V39" s="160"/>
    </row>
    <row r="40" spans="1:22" ht="13.5" customHeight="1">
      <c r="A40" s="30"/>
      <c r="B40" s="50" t="s">
        <v>24</v>
      </c>
      <c r="C40" s="51"/>
      <c r="D40" s="51"/>
      <c r="E40" s="51"/>
      <c r="F40" s="51"/>
      <c r="G40" s="51"/>
      <c r="H40" s="51"/>
      <c r="I40" s="30"/>
      <c r="J40" s="30"/>
      <c r="K40" s="154"/>
      <c r="L40" s="160"/>
      <c r="M40" s="154"/>
      <c r="N40" s="154"/>
      <c r="O40" s="154"/>
      <c r="P40" s="154"/>
      <c r="Q40" s="154"/>
      <c r="R40" s="154"/>
      <c r="S40" s="154"/>
      <c r="T40" s="154"/>
      <c r="U40" s="154"/>
      <c r="V40" s="154"/>
    </row>
    <row r="41" spans="1:22" ht="12.75" customHeight="1">
      <c r="A41" s="30"/>
      <c r="B41" s="50" t="s">
        <v>25</v>
      </c>
      <c r="C41" s="51"/>
      <c r="D41" s="51"/>
      <c r="E41" s="51"/>
      <c r="F41" s="51"/>
      <c r="G41" s="51"/>
      <c r="H41" s="51"/>
      <c r="I41" s="30"/>
      <c r="J41" s="30"/>
      <c r="K41" s="154"/>
      <c r="L41" s="271"/>
      <c r="M41" s="154"/>
      <c r="N41" s="154"/>
      <c r="O41" s="154"/>
      <c r="P41" s="154"/>
      <c r="Q41" s="154"/>
      <c r="R41" s="154"/>
      <c r="S41" s="154"/>
      <c r="T41" s="154"/>
      <c r="U41" s="154"/>
      <c r="V41" s="154"/>
    </row>
    <row r="42" spans="1:22" ht="12.75" customHeight="1">
      <c r="A42" s="30"/>
      <c r="B42" s="50" t="s">
        <v>26</v>
      </c>
      <c r="C42" s="51"/>
      <c r="D42" s="51"/>
      <c r="E42" s="51"/>
      <c r="F42" s="51"/>
      <c r="G42" s="51"/>
      <c r="H42" s="51"/>
      <c r="I42" s="30"/>
      <c r="J42" s="30"/>
      <c r="K42" s="154"/>
      <c r="L42" s="271"/>
      <c r="M42" s="154"/>
      <c r="N42" s="154"/>
      <c r="O42" s="154"/>
      <c r="P42" s="154"/>
      <c r="Q42" s="154"/>
      <c r="R42" s="154"/>
      <c r="S42" s="154"/>
      <c r="T42" s="154"/>
      <c r="U42" s="154"/>
      <c r="V42" s="154"/>
    </row>
    <row r="43" spans="1:22" ht="18.75" customHeight="1">
      <c r="A43" s="30"/>
      <c r="B43" s="12" t="s">
        <v>27</v>
      </c>
      <c r="C43" s="6"/>
      <c r="D43" s="6"/>
      <c r="F43" s="227" t="str">
        <f>IF(G43=1,"Carga real","Carga indicada")</f>
        <v>Carga indicada</v>
      </c>
      <c r="G43" s="6">
        <v>2</v>
      </c>
      <c r="H43" s="6"/>
      <c r="I43" s="30"/>
      <c r="J43" s="30"/>
      <c r="K43" s="154"/>
      <c r="L43" s="160"/>
      <c r="M43" s="154"/>
      <c r="N43" s="154"/>
      <c r="O43" s="154"/>
      <c r="P43" s="154"/>
      <c r="Q43" s="154"/>
      <c r="R43" s="154"/>
      <c r="S43" s="154"/>
      <c r="T43" s="154"/>
      <c r="U43" s="154"/>
      <c r="V43" s="154"/>
    </row>
    <row r="44" spans="1:22" ht="18.75" customHeight="1">
      <c r="A44" s="30"/>
      <c r="B44" s="294" t="str">
        <f>IF('Toma datos'!F43="Carga Indicada","Este método consiste en utilizar como referencia la carga indicada por el sistema de medida de la máquina, anotando la carga real indicada por el instrumento de medición de cargas.-","Este método consiste en utilizar como referencia la carga real indicada por el instrumento de medición de cargas, anotándo la carga indicada en el sistema de medida de la máquina")</f>
        <v>Este método consiste en utilizar como referencia la carga indicada por el sistema de medida de la máquina, anotando la carga real indicada por el instrumento de medición de cargas.-</v>
      </c>
      <c r="C44" s="295"/>
      <c r="D44" s="295"/>
      <c r="E44" s="295"/>
      <c r="F44" s="295"/>
      <c r="G44" s="295"/>
      <c r="H44" s="295"/>
      <c r="I44" s="30"/>
      <c r="J44" s="30"/>
      <c r="K44" s="154"/>
      <c r="L44" s="154"/>
      <c r="M44" s="154"/>
      <c r="N44" s="154"/>
      <c r="O44" s="154"/>
      <c r="P44" s="154"/>
      <c r="Q44" s="154"/>
      <c r="R44" s="154"/>
      <c r="S44" s="154"/>
      <c r="T44" s="154"/>
      <c r="U44" s="154"/>
      <c r="V44" s="154"/>
    </row>
    <row r="45" spans="1:22" ht="12.75">
      <c r="A45" s="30"/>
      <c r="B45" s="295"/>
      <c r="C45" s="295"/>
      <c r="D45" s="295"/>
      <c r="E45" s="295"/>
      <c r="F45" s="295"/>
      <c r="G45" s="295"/>
      <c r="H45" s="295"/>
      <c r="I45" s="30"/>
      <c r="J45" s="30"/>
      <c r="K45" s="154"/>
      <c r="L45" s="154"/>
      <c r="M45" s="154"/>
      <c r="N45" s="154"/>
      <c r="O45" s="154"/>
      <c r="P45" s="154"/>
      <c r="Q45" s="154"/>
      <c r="R45" s="154"/>
      <c r="S45" s="154"/>
      <c r="T45" s="154"/>
      <c r="U45" s="154"/>
      <c r="V45" s="154"/>
    </row>
    <row r="46" spans="1:22" ht="14.25" customHeight="1">
      <c r="A46" s="30"/>
      <c r="B46" s="295"/>
      <c r="C46" s="295"/>
      <c r="D46" s="295"/>
      <c r="E46" s="295"/>
      <c r="F46" s="295"/>
      <c r="G46" s="295"/>
      <c r="H46" s="295"/>
      <c r="I46" s="30"/>
      <c r="J46" s="30"/>
      <c r="K46" s="154"/>
      <c r="L46" s="154"/>
      <c r="M46" s="154"/>
      <c r="N46" s="154"/>
      <c r="O46" s="154"/>
      <c r="P46" s="154"/>
      <c r="Q46" s="154"/>
      <c r="R46" s="154"/>
      <c r="S46" s="154"/>
      <c r="T46" s="154"/>
      <c r="U46" s="154"/>
      <c r="V46" s="154"/>
    </row>
    <row r="47" spans="1:22" ht="16.5">
      <c r="A47" s="30"/>
      <c r="B47" s="35" t="s">
        <v>20</v>
      </c>
      <c r="C47" s="29"/>
      <c r="D47" s="29"/>
      <c r="E47" s="29"/>
      <c r="F47" s="29"/>
      <c r="G47" s="29"/>
      <c r="H47" s="29"/>
      <c r="I47" s="30"/>
      <c r="J47" s="30"/>
      <c r="K47" s="154"/>
      <c r="L47" s="154"/>
      <c r="M47" s="154"/>
      <c r="N47" s="154"/>
      <c r="O47" s="154"/>
      <c r="P47" s="154"/>
      <c r="Q47" s="154"/>
      <c r="R47" s="154"/>
      <c r="S47" s="154"/>
      <c r="T47" s="154"/>
      <c r="U47" s="154"/>
      <c r="V47" s="154"/>
    </row>
    <row r="48" spans="1:22" ht="13.5" thickBot="1">
      <c r="A48" s="30"/>
      <c r="B48" s="29" t="s">
        <v>6</v>
      </c>
      <c r="C48" s="29"/>
      <c r="D48" s="29"/>
      <c r="E48" s="29"/>
      <c r="F48" s="30"/>
      <c r="G48" s="30"/>
      <c r="H48" s="30" t="s">
        <v>111</v>
      </c>
      <c r="I48" s="30"/>
      <c r="J48" s="30"/>
      <c r="K48" s="154"/>
      <c r="L48" s="154"/>
      <c r="M48" s="154"/>
      <c r="N48" s="154"/>
      <c r="O48" s="154"/>
      <c r="P48" s="154"/>
      <c r="Q48" s="154"/>
      <c r="R48" s="154"/>
      <c r="S48" s="154"/>
      <c r="T48" s="154"/>
      <c r="U48" s="154"/>
      <c r="V48" s="154"/>
    </row>
    <row r="49" spans="1:22" ht="13.5" thickBot="1">
      <c r="A49" s="30"/>
      <c r="B49" s="52" t="s">
        <v>21</v>
      </c>
      <c r="C49" s="10" t="s">
        <v>7</v>
      </c>
      <c r="D49" s="5">
        <v>25.5</v>
      </c>
      <c r="E49" s="30" t="s">
        <v>57</v>
      </c>
      <c r="F49" s="30"/>
      <c r="G49" s="30"/>
      <c r="H49" s="30" t="s">
        <v>112</v>
      </c>
      <c r="I49" s="30"/>
      <c r="J49" s="30"/>
      <c r="K49" s="154"/>
      <c r="L49" s="154"/>
      <c r="M49" s="154"/>
      <c r="N49" s="154"/>
      <c r="O49" s="154"/>
      <c r="P49" s="154"/>
      <c r="Q49" s="154"/>
      <c r="R49" s="154"/>
      <c r="S49" s="154"/>
      <c r="T49" s="154"/>
      <c r="U49" s="154"/>
      <c r="V49" s="154"/>
    </row>
    <row r="50" spans="1:22" ht="13.5" thickBot="1">
      <c r="A50" s="30"/>
      <c r="B50" s="8"/>
      <c r="C50" s="9" t="s">
        <v>8</v>
      </c>
      <c r="D50" s="7">
        <v>25.5</v>
      </c>
      <c r="E50" s="56"/>
      <c r="F50" s="135">
        <f>(Temperatura+D50)/2</f>
        <v>25.5</v>
      </c>
      <c r="G50" s="30"/>
      <c r="H50" s="30"/>
      <c r="I50" s="97">
        <v>19.5</v>
      </c>
      <c r="J50" s="61"/>
      <c r="K50" s="154"/>
      <c r="L50" s="154"/>
      <c r="M50" s="154"/>
      <c r="N50" s="154"/>
      <c r="O50" s="154"/>
      <c r="P50" s="154"/>
      <c r="Q50" s="154"/>
      <c r="R50" s="154"/>
      <c r="S50" s="154"/>
      <c r="T50" s="154"/>
      <c r="U50" s="154"/>
      <c r="V50" s="154"/>
    </row>
    <row r="51" spans="1:22" ht="12.75">
      <c r="A51" s="30"/>
      <c r="B51" s="53"/>
      <c r="C51" s="53"/>
      <c r="D51" s="53"/>
      <c r="E51" s="53"/>
      <c r="F51" s="53"/>
      <c r="G51" s="53"/>
      <c r="H51" s="53"/>
      <c r="I51" s="30"/>
      <c r="J51" s="30"/>
      <c r="K51" s="154"/>
      <c r="L51" s="154"/>
      <c r="M51" s="154"/>
      <c r="N51" s="154"/>
      <c r="O51" s="154"/>
      <c r="P51" s="154"/>
      <c r="Q51" s="154"/>
      <c r="R51" s="154"/>
      <c r="S51" s="154"/>
      <c r="T51" s="154"/>
      <c r="U51" s="154"/>
      <c r="V51" s="154"/>
    </row>
    <row r="52" spans="1:22" ht="15.75">
      <c r="A52" s="30"/>
      <c r="B52" s="54" t="s">
        <v>9</v>
      </c>
      <c r="C52" s="55"/>
      <c r="D52" s="55"/>
      <c r="E52" s="55"/>
      <c r="F52" s="55"/>
      <c r="G52" s="55"/>
      <c r="H52" s="55"/>
      <c r="I52" s="30"/>
      <c r="J52" s="30"/>
      <c r="K52" s="154"/>
      <c r="L52" s="154"/>
      <c r="M52" s="154"/>
      <c r="N52" s="154"/>
      <c r="O52" s="154"/>
      <c r="P52" s="154"/>
      <c r="Q52" s="154"/>
      <c r="R52" s="154"/>
      <c r="S52" s="154"/>
      <c r="T52" s="154"/>
      <c r="U52" s="154"/>
      <c r="V52" s="154"/>
    </row>
    <row r="53" spans="1:22" ht="12.75">
      <c r="A53" s="30"/>
      <c r="B53" s="277"/>
      <c r="C53" s="278"/>
      <c r="D53" s="278"/>
      <c r="E53" s="278"/>
      <c r="F53" s="278"/>
      <c r="G53" s="278"/>
      <c r="H53" s="279"/>
      <c r="I53" s="30"/>
      <c r="J53" s="30"/>
      <c r="K53" s="154"/>
      <c r="L53" s="154"/>
      <c r="M53" s="154"/>
      <c r="N53" s="154"/>
      <c r="O53" s="154"/>
      <c r="P53" s="154"/>
      <c r="Q53" s="154"/>
      <c r="R53" s="154"/>
      <c r="S53" s="154"/>
      <c r="T53" s="154"/>
      <c r="U53" s="154"/>
      <c r="V53" s="154"/>
    </row>
    <row r="54" spans="1:22" ht="12.75">
      <c r="A54" s="30"/>
      <c r="B54" s="280"/>
      <c r="C54" s="274"/>
      <c r="D54" s="274"/>
      <c r="E54" s="274"/>
      <c r="F54" s="274"/>
      <c r="G54" s="274"/>
      <c r="H54" s="275"/>
      <c r="I54" s="30"/>
      <c r="J54" s="30"/>
      <c r="K54" s="154"/>
      <c r="L54" s="154"/>
      <c r="M54" s="154"/>
      <c r="N54" s="154"/>
      <c r="O54" s="154"/>
      <c r="P54" s="154"/>
      <c r="Q54" s="154"/>
      <c r="R54" s="154"/>
      <c r="S54" s="154"/>
      <c r="T54" s="154"/>
      <c r="U54" s="154"/>
      <c r="V54" s="154"/>
    </row>
    <row r="55" spans="1:22" ht="12.75">
      <c r="A55" s="30"/>
      <c r="B55" s="280"/>
      <c r="C55" s="274"/>
      <c r="D55" s="274"/>
      <c r="E55" s="274"/>
      <c r="F55" s="274"/>
      <c r="G55" s="274"/>
      <c r="H55" s="275"/>
      <c r="I55" s="30"/>
      <c r="J55" s="30"/>
      <c r="K55" s="154"/>
      <c r="L55" s="154"/>
      <c r="M55" s="154"/>
      <c r="N55" s="154"/>
      <c r="O55" s="154"/>
      <c r="P55" s="154"/>
      <c r="Q55" s="154"/>
      <c r="R55" s="154"/>
      <c r="S55" s="154"/>
      <c r="T55" s="154"/>
      <c r="U55" s="154"/>
      <c r="V55" s="154"/>
    </row>
    <row r="56" spans="1:22" ht="12.75">
      <c r="A56" s="30"/>
      <c r="B56" s="280"/>
      <c r="C56" s="274"/>
      <c r="D56" s="274"/>
      <c r="E56" s="274"/>
      <c r="F56" s="274"/>
      <c r="G56" s="274"/>
      <c r="H56" s="275"/>
      <c r="I56" s="30"/>
      <c r="J56" s="30"/>
      <c r="K56" s="154"/>
      <c r="L56" s="154"/>
      <c r="M56" s="154"/>
      <c r="N56" s="154"/>
      <c r="O56" s="154"/>
      <c r="P56" s="154"/>
      <c r="Q56" s="154"/>
      <c r="R56" s="154"/>
      <c r="S56" s="154"/>
      <c r="T56" s="154"/>
      <c r="U56" s="154"/>
      <c r="V56" s="154"/>
    </row>
    <row r="57" spans="1:22" ht="12.75">
      <c r="A57" s="30"/>
      <c r="B57" s="276"/>
      <c r="C57" s="299"/>
      <c r="D57" s="299"/>
      <c r="E57" s="299"/>
      <c r="F57" s="299"/>
      <c r="G57" s="299"/>
      <c r="H57" s="300"/>
      <c r="I57" s="30"/>
      <c r="J57" s="30"/>
      <c r="K57" s="154"/>
      <c r="L57" s="154"/>
      <c r="M57" s="154"/>
      <c r="N57" s="154"/>
      <c r="O57" s="154"/>
      <c r="P57" s="154"/>
      <c r="Q57" s="154"/>
      <c r="R57" s="154"/>
      <c r="S57" s="154"/>
      <c r="T57" s="154"/>
      <c r="U57" s="154"/>
      <c r="V57" s="154"/>
    </row>
    <row r="58" spans="1:22" ht="12.75">
      <c r="A58" s="30"/>
      <c r="B58" s="56"/>
      <c r="C58" s="56"/>
      <c r="D58" s="56"/>
      <c r="E58" s="56"/>
      <c r="F58" s="56"/>
      <c r="G58" s="56"/>
      <c r="H58" s="56"/>
      <c r="I58" s="30"/>
      <c r="J58" s="30"/>
      <c r="K58" s="154"/>
      <c r="L58" s="154"/>
      <c r="M58" s="154"/>
      <c r="N58" s="154"/>
      <c r="O58" s="154"/>
      <c r="P58" s="154"/>
      <c r="Q58" s="154"/>
      <c r="R58" s="154"/>
      <c r="S58" s="154"/>
      <c r="T58" s="154"/>
      <c r="U58" s="154"/>
      <c r="V58" s="154"/>
    </row>
    <row r="59" spans="1:22" ht="12.75">
      <c r="A59" s="30"/>
      <c r="B59" s="86" t="s">
        <v>96</v>
      </c>
      <c r="C59" s="98"/>
      <c r="D59" s="99"/>
      <c r="E59" s="287"/>
      <c r="F59" s="288"/>
      <c r="G59" s="289"/>
      <c r="H59" s="56"/>
      <c r="I59" s="30"/>
      <c r="J59" s="30"/>
      <c r="K59" s="154"/>
      <c r="L59" s="154"/>
      <c r="M59" s="154"/>
      <c r="N59" s="154"/>
      <c r="O59" s="154"/>
      <c r="P59" s="154"/>
      <c r="Q59" s="154"/>
      <c r="R59" s="154"/>
      <c r="S59" s="154"/>
      <c r="T59" s="154"/>
      <c r="U59" s="154"/>
      <c r="V59" s="154"/>
    </row>
    <row r="60" spans="1:22" ht="12.75">
      <c r="A60" s="30"/>
      <c r="B60" s="86" t="s">
        <v>97</v>
      </c>
      <c r="C60" s="98"/>
      <c r="D60" s="99"/>
      <c r="E60" s="287"/>
      <c r="F60" s="288"/>
      <c r="G60" s="289"/>
      <c r="H60" s="30"/>
      <c r="I60" s="30"/>
      <c r="J60" s="30"/>
      <c r="K60" s="154"/>
      <c r="L60" s="154"/>
      <c r="M60" s="154"/>
      <c r="N60" s="154"/>
      <c r="O60" s="154"/>
      <c r="P60" s="154"/>
      <c r="Q60" s="154"/>
      <c r="R60" s="154"/>
      <c r="S60" s="154"/>
      <c r="T60" s="154"/>
      <c r="U60" s="154"/>
      <c r="V60" s="154"/>
    </row>
    <row r="61" spans="1:22" ht="12.75">
      <c r="A61" s="30"/>
      <c r="B61" s="30"/>
      <c r="C61" s="30"/>
      <c r="D61" s="30"/>
      <c r="E61" s="30"/>
      <c r="F61" s="30"/>
      <c r="G61" s="30"/>
      <c r="H61" s="30"/>
      <c r="I61" s="30"/>
      <c r="J61" s="30"/>
      <c r="K61" s="154"/>
      <c r="L61" s="154"/>
      <c r="M61" s="154"/>
      <c r="N61" s="154"/>
      <c r="O61" s="154"/>
      <c r="P61" s="154"/>
      <c r="Q61" s="154"/>
      <c r="R61" s="154"/>
      <c r="S61" s="154"/>
      <c r="T61" s="154"/>
      <c r="U61" s="154"/>
      <c r="V61" s="154"/>
    </row>
    <row r="62" spans="1:22" ht="12.75">
      <c r="A62" s="30"/>
      <c r="B62" s="30"/>
      <c r="C62" s="30"/>
      <c r="D62" s="30"/>
      <c r="E62" s="30"/>
      <c r="F62" s="30"/>
      <c r="G62" s="30"/>
      <c r="H62" s="30"/>
      <c r="I62" s="30"/>
      <c r="J62" s="30"/>
      <c r="K62" s="154"/>
      <c r="L62" s="154"/>
      <c r="M62" s="154"/>
      <c r="N62" s="154"/>
      <c r="O62" s="154"/>
      <c r="P62" s="154"/>
      <c r="Q62" s="154"/>
      <c r="R62" s="154"/>
      <c r="S62" s="154"/>
      <c r="T62" s="154"/>
      <c r="U62" s="154"/>
      <c r="V62" s="154"/>
    </row>
    <row r="63" spans="1:22" ht="12.75">
      <c r="A63" s="30"/>
      <c r="B63" s="30"/>
      <c r="C63" s="30"/>
      <c r="D63" s="30"/>
      <c r="E63" s="30"/>
      <c r="F63" s="30"/>
      <c r="G63" s="30"/>
      <c r="H63" s="30"/>
      <c r="I63" s="30"/>
      <c r="J63" s="30"/>
      <c r="K63" s="154"/>
      <c r="L63" s="154"/>
      <c r="M63" s="154"/>
      <c r="N63" s="154"/>
      <c r="O63" s="154"/>
      <c r="P63" s="154"/>
      <c r="Q63" s="154"/>
      <c r="R63" s="154"/>
      <c r="S63" s="154"/>
      <c r="T63" s="154"/>
      <c r="U63" s="154"/>
      <c r="V63" s="154"/>
    </row>
    <row r="64" spans="1:22" ht="12.75">
      <c r="A64" s="30"/>
      <c r="B64" s="154"/>
      <c r="C64" s="154"/>
      <c r="D64" s="154"/>
      <c r="E64" s="154"/>
      <c r="F64" s="154"/>
      <c r="G64" s="154"/>
      <c r="H64" s="154"/>
      <c r="I64" s="154"/>
      <c r="J64" s="154"/>
      <c r="K64" s="154"/>
      <c r="L64" s="154"/>
      <c r="M64" s="154"/>
      <c r="N64" s="154"/>
      <c r="O64" s="154"/>
      <c r="P64" s="154"/>
      <c r="Q64" s="154"/>
      <c r="R64" s="154"/>
      <c r="S64" s="154"/>
      <c r="T64" s="154"/>
      <c r="U64" s="154"/>
      <c r="V64" s="154"/>
    </row>
    <row r="65" spans="1:22" ht="12.75">
      <c r="A65" s="30"/>
      <c r="B65" s="154"/>
      <c r="C65" s="154"/>
      <c r="D65" s="154"/>
      <c r="E65" s="154"/>
      <c r="F65" s="154"/>
      <c r="G65" s="154"/>
      <c r="H65" s="154"/>
      <c r="I65" s="154"/>
      <c r="J65" s="154"/>
      <c r="K65" s="154"/>
      <c r="L65" s="154"/>
      <c r="M65" s="154"/>
      <c r="N65" s="154"/>
      <c r="O65" s="154"/>
      <c r="P65" s="154"/>
      <c r="Q65" s="154"/>
      <c r="R65" s="154"/>
      <c r="S65" s="154"/>
      <c r="T65" s="154"/>
      <c r="U65" s="154"/>
      <c r="V65" s="154"/>
    </row>
    <row r="66" spans="2:22" ht="12.75">
      <c r="B66" s="154"/>
      <c r="C66" s="154"/>
      <c r="D66" s="154"/>
      <c r="E66" s="154"/>
      <c r="F66" s="154"/>
      <c r="G66" s="154"/>
      <c r="H66" s="154"/>
      <c r="I66" s="154"/>
      <c r="J66" s="154"/>
      <c r="K66" s="154"/>
      <c r="L66" s="154"/>
      <c r="M66" s="154"/>
      <c r="N66" s="154"/>
      <c r="O66" s="154"/>
      <c r="P66" s="154"/>
      <c r="Q66" s="154"/>
      <c r="R66" s="154"/>
      <c r="S66" s="154"/>
      <c r="T66" s="154"/>
      <c r="U66" s="154"/>
      <c r="V66" s="154"/>
    </row>
    <row r="67" spans="2:22" ht="12.75">
      <c r="B67" s="154"/>
      <c r="C67" s="154"/>
      <c r="D67" s="154"/>
      <c r="E67" s="154"/>
      <c r="F67" s="154"/>
      <c r="G67" s="154"/>
      <c r="H67" s="154"/>
      <c r="I67" s="154"/>
      <c r="J67" s="154"/>
      <c r="K67" s="154"/>
      <c r="L67" s="154"/>
      <c r="M67" s="154"/>
      <c r="N67" s="154"/>
      <c r="O67" s="154"/>
      <c r="P67" s="154"/>
      <c r="Q67" s="154"/>
      <c r="R67" s="154"/>
      <c r="S67" s="154"/>
      <c r="T67" s="154"/>
      <c r="U67" s="154"/>
      <c r="V67" s="154"/>
    </row>
    <row r="68" spans="2:22" ht="12.75">
      <c r="B68" s="154"/>
      <c r="C68" s="154"/>
      <c r="D68" s="154"/>
      <c r="E68" s="154"/>
      <c r="F68" s="154"/>
      <c r="G68" s="154"/>
      <c r="H68" s="154"/>
      <c r="I68" s="154"/>
      <c r="J68" s="154"/>
      <c r="K68" s="154"/>
      <c r="L68" s="154"/>
      <c r="M68" s="154"/>
      <c r="N68" s="154"/>
      <c r="O68" s="154"/>
      <c r="P68" s="154"/>
      <c r="Q68" s="154"/>
      <c r="R68" s="154"/>
      <c r="S68" s="154"/>
      <c r="T68" s="154"/>
      <c r="U68" s="154"/>
      <c r="V68" s="154"/>
    </row>
    <row r="69" spans="2:22" ht="12.75">
      <c r="B69" s="154"/>
      <c r="C69" s="154"/>
      <c r="D69" s="154"/>
      <c r="E69" s="154"/>
      <c r="F69" s="154"/>
      <c r="G69" s="154"/>
      <c r="H69" s="154"/>
      <c r="I69" s="154"/>
      <c r="J69" s="154"/>
      <c r="K69" s="154"/>
      <c r="L69" s="154"/>
      <c r="M69" s="154"/>
      <c r="N69" s="154"/>
      <c r="O69" s="154"/>
      <c r="P69" s="154"/>
      <c r="Q69" s="154"/>
      <c r="R69" s="154"/>
      <c r="S69" s="154"/>
      <c r="T69" s="154"/>
      <c r="U69" s="154"/>
      <c r="V69" s="154"/>
    </row>
    <row r="70" spans="2:22" ht="12.75">
      <c r="B70" s="154"/>
      <c r="C70" s="154"/>
      <c r="D70" s="154"/>
      <c r="E70" s="154"/>
      <c r="F70" s="154"/>
      <c r="G70" s="154"/>
      <c r="H70" s="154"/>
      <c r="I70" s="154"/>
      <c r="J70" s="154"/>
      <c r="K70" s="154"/>
      <c r="L70" s="154"/>
      <c r="M70" s="154"/>
      <c r="N70" s="154"/>
      <c r="O70" s="154"/>
      <c r="P70" s="154"/>
      <c r="Q70" s="154"/>
      <c r="R70" s="154"/>
      <c r="S70" s="154"/>
      <c r="T70" s="154"/>
      <c r="U70" s="154"/>
      <c r="V70" s="154"/>
    </row>
    <row r="71" spans="2:22" ht="12.75">
      <c r="B71" s="154"/>
      <c r="C71" s="154"/>
      <c r="D71" s="154"/>
      <c r="E71" s="154"/>
      <c r="F71" s="154"/>
      <c r="G71" s="154"/>
      <c r="H71" s="154"/>
      <c r="I71" s="154"/>
      <c r="J71" s="154"/>
      <c r="K71" s="154"/>
      <c r="L71" s="154"/>
      <c r="M71" s="154"/>
      <c r="N71" s="154"/>
      <c r="O71" s="154"/>
      <c r="P71" s="154"/>
      <c r="Q71" s="154"/>
      <c r="R71" s="154"/>
      <c r="S71" s="154"/>
      <c r="T71" s="154"/>
      <c r="U71" s="154"/>
      <c r="V71" s="154"/>
    </row>
    <row r="72" spans="2:22" ht="12.75">
      <c r="B72" s="154"/>
      <c r="C72" s="154"/>
      <c r="D72" s="154"/>
      <c r="E72" s="154"/>
      <c r="F72" s="154"/>
      <c r="G72" s="154"/>
      <c r="H72" s="154"/>
      <c r="I72" s="154"/>
      <c r="J72" s="154"/>
      <c r="K72" s="154"/>
      <c r="L72" s="154"/>
      <c r="M72" s="154"/>
      <c r="N72" s="154"/>
      <c r="O72" s="154"/>
      <c r="P72" s="154"/>
      <c r="Q72" s="154"/>
      <c r="R72" s="154"/>
      <c r="S72" s="154"/>
      <c r="T72" s="154"/>
      <c r="U72" s="154"/>
      <c r="V72" s="154"/>
    </row>
    <row r="73" spans="2:22" ht="12.75">
      <c r="B73" s="154"/>
      <c r="C73" s="154"/>
      <c r="D73" s="154"/>
      <c r="E73" s="154"/>
      <c r="F73" s="154"/>
      <c r="G73" s="154"/>
      <c r="H73" s="154"/>
      <c r="I73" s="154"/>
      <c r="J73" s="154"/>
      <c r="K73" s="154"/>
      <c r="L73" s="154"/>
      <c r="M73" s="154"/>
      <c r="N73" s="154"/>
      <c r="O73" s="154"/>
      <c r="P73" s="154"/>
      <c r="Q73" s="154"/>
      <c r="R73" s="154"/>
      <c r="S73" s="154"/>
      <c r="T73" s="154"/>
      <c r="U73" s="154"/>
      <c r="V73" s="154"/>
    </row>
    <row r="74" spans="2:22" ht="12.75">
      <c r="B74" s="154"/>
      <c r="C74" s="154"/>
      <c r="D74" s="154"/>
      <c r="E74" s="154"/>
      <c r="F74" s="154"/>
      <c r="G74" s="154"/>
      <c r="H74" s="154"/>
      <c r="I74" s="154"/>
      <c r="J74" s="154"/>
      <c r="K74" s="154"/>
      <c r="L74" s="154"/>
      <c r="M74" s="154"/>
      <c r="N74" s="154"/>
      <c r="O74" s="154"/>
      <c r="P74" s="154"/>
      <c r="Q74" s="154"/>
      <c r="R74" s="154"/>
      <c r="S74" s="154"/>
      <c r="T74" s="154"/>
      <c r="U74" s="154"/>
      <c r="V74" s="154"/>
    </row>
  </sheetData>
  <sheetProtection sheet="1" objects="1" scenarios="1"/>
  <mergeCells count="25">
    <mergeCell ref="C20:E20"/>
    <mergeCell ref="D35:E35"/>
    <mergeCell ref="C25:D25"/>
    <mergeCell ref="E24:F24"/>
    <mergeCell ref="F25:J25"/>
    <mergeCell ref="A24:B24"/>
    <mergeCell ref="B4:D4"/>
    <mergeCell ref="C7:F7"/>
    <mergeCell ref="C8:F8"/>
    <mergeCell ref="C9:D9"/>
    <mergeCell ref="F9:G9"/>
    <mergeCell ref="C13:E13"/>
    <mergeCell ref="C14:E14"/>
    <mergeCell ref="F14:G14"/>
    <mergeCell ref="E18:F18"/>
    <mergeCell ref="D16:J17"/>
    <mergeCell ref="E59:G59"/>
    <mergeCell ref="E60:G60"/>
    <mergeCell ref="C3:I3"/>
    <mergeCell ref="B18:D18"/>
    <mergeCell ref="B44:H46"/>
    <mergeCell ref="B38:H38"/>
    <mergeCell ref="B53:H57"/>
    <mergeCell ref="B37:H37"/>
    <mergeCell ref="C19:E19"/>
  </mergeCells>
  <printOptions/>
  <pageMargins left="0.47" right="0.75" top="1" bottom="1" header="0" footer="0"/>
  <pageSetup horizontalDpi="300" verticalDpi="300" orientation="portrait" paperSize="9" scale="98" r:id="rId3"/>
  <drawing r:id="rId2"/>
  <legacyDrawing r:id="rId1"/>
</worksheet>
</file>

<file path=xl/worksheets/sheet2.xml><?xml version="1.0" encoding="utf-8"?>
<worksheet xmlns="http://schemas.openxmlformats.org/spreadsheetml/2006/main" xmlns:r="http://schemas.openxmlformats.org/officeDocument/2006/relationships">
  <dimension ref="A1:EM55"/>
  <sheetViews>
    <sheetView zoomScale="75" zoomScaleNormal="75" zoomScaleSheetLayoutView="75" workbookViewId="0" topLeftCell="C7">
      <selection activeCell="O24" sqref="O24"/>
    </sheetView>
  </sheetViews>
  <sheetFormatPr defaultColWidth="11.421875" defaultRowHeight="12.75"/>
  <cols>
    <col min="1" max="1" width="7.57421875" style="0" customWidth="1"/>
    <col min="2" max="2" width="12.00390625" style="0" customWidth="1"/>
    <col min="3" max="3" width="12.57421875" style="0" bestFit="1" customWidth="1"/>
    <col min="4" max="4" width="12.57421875" style="0" customWidth="1"/>
    <col min="5" max="5" width="12.7109375" style="0" customWidth="1"/>
    <col min="6" max="6" width="14.140625" style="0" customWidth="1"/>
    <col min="7" max="7" width="9.00390625" style="0" customWidth="1"/>
    <col min="8" max="8" width="11.140625" style="0" customWidth="1"/>
    <col min="9" max="9" width="15.421875" style="0" customWidth="1"/>
    <col min="10" max="10" width="9.28125" style="0" customWidth="1"/>
    <col min="11" max="11" width="5.7109375" style="0" customWidth="1"/>
    <col min="12" max="12" width="10.7109375" style="0" customWidth="1"/>
    <col min="13" max="13" width="14.7109375" style="0" customWidth="1"/>
    <col min="14" max="14" width="14.421875" style="0" customWidth="1"/>
    <col min="15" max="15" width="15.57421875" style="1" customWidth="1"/>
    <col min="16" max="17" width="19.00390625" style="2" customWidth="1"/>
    <col min="18" max="18" width="16.8515625" style="1" customWidth="1"/>
    <col min="19" max="20" width="20.8515625" style="1" bestFit="1" customWidth="1"/>
    <col min="21" max="21" width="14.28125" style="1" bestFit="1" customWidth="1"/>
    <col min="22" max="22" width="11.421875" style="1" customWidth="1"/>
  </cols>
  <sheetData>
    <row r="1" spans="1:29" ht="20.25">
      <c r="A1" s="33"/>
      <c r="B1" s="58" t="s">
        <v>50</v>
      </c>
      <c r="C1" s="59"/>
      <c r="D1" s="273"/>
      <c r="E1" s="32"/>
      <c r="F1" s="32"/>
      <c r="G1" s="123" t="s">
        <v>109</v>
      </c>
      <c r="H1" s="66"/>
      <c r="I1" s="67"/>
      <c r="J1" s="124">
        <v>9.799375</v>
      </c>
      <c r="K1" s="67"/>
      <c r="L1" s="30"/>
      <c r="M1" s="30"/>
      <c r="N1" s="33"/>
      <c r="O1" s="33"/>
      <c r="P1" s="61"/>
      <c r="Q1" s="61"/>
      <c r="R1" s="61"/>
      <c r="S1" s="61"/>
      <c r="T1" s="61"/>
      <c r="U1" s="158"/>
      <c r="V1" s="160"/>
      <c r="W1" s="154"/>
      <c r="X1" s="154"/>
      <c r="Y1" s="154"/>
      <c r="Z1" s="154"/>
      <c r="AA1" s="154"/>
      <c r="AB1" s="154"/>
      <c r="AC1" s="154"/>
    </row>
    <row r="2" spans="1:29" ht="15.75">
      <c r="A2" s="30"/>
      <c r="B2" s="63" t="s">
        <v>22</v>
      </c>
      <c r="C2" s="64"/>
      <c r="D2" s="64"/>
      <c r="E2" s="62"/>
      <c r="F2" s="62"/>
      <c r="G2" s="62"/>
      <c r="H2" s="164" t="s">
        <v>86</v>
      </c>
      <c r="I2" s="62"/>
      <c r="J2" s="62"/>
      <c r="K2" s="62"/>
      <c r="L2" s="30"/>
      <c r="M2" s="30"/>
      <c r="N2" s="30"/>
      <c r="O2" s="33"/>
      <c r="P2" s="61"/>
      <c r="Q2" s="61"/>
      <c r="R2" s="61"/>
      <c r="S2" s="61"/>
      <c r="T2" s="61"/>
      <c r="U2" s="158"/>
      <c r="V2" s="160"/>
      <c r="W2" s="154"/>
      <c r="X2" s="154"/>
      <c r="Y2" s="154"/>
      <c r="Z2" s="154"/>
      <c r="AA2" s="154"/>
      <c r="AB2" s="154"/>
      <c r="AC2" s="154"/>
    </row>
    <row r="3" spans="1:29" ht="12.75">
      <c r="A3" s="30"/>
      <c r="B3" s="65" t="s">
        <v>28</v>
      </c>
      <c r="C3" s="61"/>
      <c r="D3" s="61"/>
      <c r="E3" s="33"/>
      <c r="F3" s="33"/>
      <c r="G3" s="33"/>
      <c r="H3" s="164" t="s">
        <v>85</v>
      </c>
      <c r="I3" s="33"/>
      <c r="J3" s="33"/>
      <c r="K3" s="33"/>
      <c r="L3" s="30"/>
      <c r="M3" s="30"/>
      <c r="N3" s="30"/>
      <c r="O3" s="33"/>
      <c r="P3" s="61"/>
      <c r="Q3" s="61"/>
      <c r="R3" s="33"/>
      <c r="S3" s="33"/>
      <c r="T3" s="33"/>
      <c r="U3" s="160"/>
      <c r="V3" s="160"/>
      <c r="W3" s="154"/>
      <c r="X3" s="154"/>
      <c r="Y3" s="154"/>
      <c r="Z3" s="154"/>
      <c r="AA3" s="154"/>
      <c r="AB3" s="154"/>
      <c r="AC3" s="154"/>
    </row>
    <row r="4" spans="1:29" ht="18" customHeight="1">
      <c r="A4" s="30"/>
      <c r="B4" s="94" t="s">
        <v>29</v>
      </c>
      <c r="C4" s="61"/>
      <c r="D4" s="61"/>
      <c r="E4" s="33" t="str">
        <f>IF(F4=1,"compresión","tracción")</f>
        <v>tracción</v>
      </c>
      <c r="F4" s="95">
        <v>2</v>
      </c>
      <c r="G4" s="30"/>
      <c r="H4" s="60" t="s">
        <v>12</v>
      </c>
      <c r="I4" s="30"/>
      <c r="J4" s="79">
        <f>J6*20/100</f>
        <v>2000</v>
      </c>
      <c r="K4" s="71" t="str">
        <f>'Toma datos'!$G$27</f>
        <v>N</v>
      </c>
      <c r="L4" s="30"/>
      <c r="M4" s="30"/>
      <c r="N4" s="30"/>
      <c r="O4" s="33"/>
      <c r="P4" s="61"/>
      <c r="Q4" s="61"/>
      <c r="R4" s="33"/>
      <c r="S4" s="33"/>
      <c r="T4" s="33"/>
      <c r="U4" s="160"/>
      <c r="V4" s="160"/>
      <c r="W4" s="154"/>
      <c r="X4" s="154"/>
      <c r="Y4" s="154"/>
      <c r="Z4" s="154"/>
      <c r="AA4" s="154"/>
      <c r="AB4" s="154"/>
      <c r="AC4" s="154"/>
    </row>
    <row r="5" spans="1:29" ht="15" customHeight="1">
      <c r="A5" s="30"/>
      <c r="B5" s="60" t="s">
        <v>31</v>
      </c>
      <c r="C5" s="61"/>
      <c r="D5" s="61"/>
      <c r="E5" s="324" t="str">
        <f>IF('Toma datos'!G43=1,"carga real","carga indicada")</f>
        <v>carga indicada</v>
      </c>
      <c r="F5" s="325"/>
      <c r="G5" s="60" t="s">
        <v>13</v>
      </c>
      <c r="H5" s="30"/>
      <c r="I5" s="30"/>
      <c r="J5" s="96">
        <f>IF('Toma datos'!D23=1,'Toma datos'!F27*Auxiliar!F2,IF('Toma datos'!D23=2,'Toma datos'!F27*Auxiliar!F3,IF('Toma datos'!D23=3,'Toma datos'!F27*Auxiliar!F4,IF('Toma datos'!D23=4,'Toma datos'!F27*Auxiliar!F5,IF('Toma datos'!D23=5,J4)))))</f>
        <v>2000</v>
      </c>
      <c r="K5" s="71" t="str">
        <f>'Toma datos'!$G$27</f>
        <v>N</v>
      </c>
      <c r="L5" s="30"/>
      <c r="M5" s="30"/>
      <c r="N5" s="30"/>
      <c r="O5" s="33"/>
      <c r="P5" s="61"/>
      <c r="Q5" s="61"/>
      <c r="R5" s="33"/>
      <c r="S5" s="33"/>
      <c r="T5" s="33"/>
      <c r="U5" s="160"/>
      <c r="V5" s="160"/>
      <c r="W5" s="154"/>
      <c r="X5" s="154"/>
      <c r="Y5" s="154"/>
      <c r="Z5" s="154"/>
      <c r="AA5" s="154"/>
      <c r="AB5" s="154"/>
      <c r="AC5" s="154"/>
    </row>
    <row r="6" spans="1:29" ht="12.75">
      <c r="A6" s="30"/>
      <c r="B6" s="60"/>
      <c r="C6" s="61"/>
      <c r="D6" s="61"/>
      <c r="E6" s="33"/>
      <c r="F6" s="33"/>
      <c r="G6" s="69" t="s">
        <v>32</v>
      </c>
      <c r="H6" s="30"/>
      <c r="I6" s="30"/>
      <c r="J6" s="97">
        <f>IF('Toma datos'!C24=3,MAX('Toma datos'!D27:D30),'Toma datos'!D27)</f>
        <v>10000</v>
      </c>
      <c r="K6" s="71" t="str">
        <f>'Toma datos'!$G$27</f>
        <v>N</v>
      </c>
      <c r="L6" s="30"/>
      <c r="M6" s="30"/>
      <c r="N6" s="30"/>
      <c r="O6" s="33"/>
      <c r="P6" s="61"/>
      <c r="Q6" s="61"/>
      <c r="R6" s="33"/>
      <c r="S6" s="33"/>
      <c r="T6" s="33"/>
      <c r="U6" s="160"/>
      <c r="V6" s="160"/>
      <c r="W6" s="154"/>
      <c r="X6" s="154"/>
      <c r="Y6" s="154"/>
      <c r="Z6" s="154"/>
      <c r="AA6" s="154"/>
      <c r="AB6" s="154"/>
      <c r="AC6" s="154"/>
    </row>
    <row r="7" spans="1:29" ht="12.75">
      <c r="A7" s="30"/>
      <c r="B7" s="60"/>
      <c r="C7" s="61"/>
      <c r="D7" s="61"/>
      <c r="E7" s="33"/>
      <c r="F7" s="33" t="s">
        <v>76</v>
      </c>
      <c r="G7" s="69"/>
      <c r="H7" s="30" t="s">
        <v>77</v>
      </c>
      <c r="I7" s="30"/>
      <c r="J7" s="61"/>
      <c r="K7" s="60"/>
      <c r="L7" s="30"/>
      <c r="M7" s="30"/>
      <c r="N7" s="30"/>
      <c r="O7" s="33"/>
      <c r="P7" s="61"/>
      <c r="Q7" s="61"/>
      <c r="R7" s="33"/>
      <c r="S7" s="33"/>
      <c r="T7" s="33"/>
      <c r="U7" s="160"/>
      <c r="V7" s="160"/>
      <c r="W7" s="154"/>
      <c r="X7" s="154"/>
      <c r="Y7" s="154"/>
      <c r="Z7" s="154"/>
      <c r="AA7" s="154"/>
      <c r="AB7" s="154"/>
      <c r="AC7" s="154"/>
    </row>
    <row r="8" spans="1:29" ht="18" customHeight="1" thickBot="1">
      <c r="A8" s="326">
        <f>IF(J5&lt;J6/100,"CUIDADO, Faltan PUNTOS","")</f>
      </c>
      <c r="B8" s="327"/>
      <c r="C8" s="328"/>
      <c r="D8" s="165"/>
      <c r="E8" s="107" t="s">
        <v>80</v>
      </c>
      <c r="F8" s="74">
        <f>'Toma datos'!C27</f>
        <v>0</v>
      </c>
      <c r="G8" s="30"/>
      <c r="H8" s="74">
        <f>'Toma datos'!D27</f>
        <v>4000</v>
      </c>
      <c r="I8" s="30"/>
      <c r="J8" s="33"/>
      <c r="K8" s="30"/>
      <c r="L8" s="30"/>
      <c r="M8" s="30"/>
      <c r="N8" s="30"/>
      <c r="O8" s="33"/>
      <c r="P8" s="61"/>
      <c r="Q8" s="61"/>
      <c r="R8" s="33"/>
      <c r="S8" s="33"/>
      <c r="T8" s="33"/>
      <c r="U8" s="160"/>
      <c r="V8" s="160"/>
      <c r="W8" s="154"/>
      <c r="X8" s="154"/>
      <c r="Y8" s="154"/>
      <c r="Z8" s="154"/>
      <c r="AA8" s="154"/>
      <c r="AB8" s="154"/>
      <c r="AC8" s="154"/>
    </row>
    <row r="9" spans="1:29" ht="15" customHeight="1" thickBot="1">
      <c r="A9" s="329" t="str">
        <f>IF(OR(Auxiliar!A27&lt;2,Auxiliar!B27&lt;2,Auxiliar!C27&lt;2,Auxiliar!D27&lt;2),"CUIDADO! no hay al menos 2 puntos en cada parte de la escala en la que no cambia la resolución","")</f>
        <v>CUIDADO! no hay al menos 2 puntos en cada parte de la escala en la que no cambia la resolución</v>
      </c>
      <c r="B9" s="329"/>
      <c r="C9" s="330"/>
      <c r="D9" s="166"/>
      <c r="E9" s="333" t="str">
        <f>IF('Toma datos'!F43="Carga real","Carga indicada ("&amp;TEXT('Toma datos'!G27,"#,0")&amp;")","Carga real ("&amp;TEXT('Toma datos'!G27,"#,0")&amp;")")</f>
        <v>Carga real (N)</v>
      </c>
      <c r="F9" s="334"/>
      <c r="G9" s="334"/>
      <c r="H9" s="335"/>
      <c r="I9" s="107"/>
      <c r="J9" s="61"/>
      <c r="K9" s="61"/>
      <c r="L9" s="30"/>
      <c r="M9" s="30"/>
      <c r="N9" s="30"/>
      <c r="O9" s="33"/>
      <c r="P9" s="61"/>
      <c r="Q9" s="61"/>
      <c r="R9" s="33"/>
      <c r="S9" s="33"/>
      <c r="T9" s="33"/>
      <c r="U9" s="160"/>
      <c r="V9" s="160"/>
      <c r="W9" s="154"/>
      <c r="X9" s="154"/>
      <c r="Y9" s="154"/>
      <c r="Z9" s="154"/>
      <c r="AA9" s="154"/>
      <c r="AB9" s="154"/>
      <c r="AC9" s="154"/>
    </row>
    <row r="10" spans="1:29" ht="36.75" customHeight="1" thickBot="1">
      <c r="A10" s="329"/>
      <c r="B10" s="329"/>
      <c r="C10" s="330"/>
      <c r="D10" s="166"/>
      <c r="E10" s="230" t="s">
        <v>0</v>
      </c>
      <c r="F10" s="331" t="s">
        <v>1</v>
      </c>
      <c r="G10" s="332"/>
      <c r="H10" s="230" t="s">
        <v>2</v>
      </c>
      <c r="I10" s="27">
        <f>IF('Toma datos'!D21=2,"","Serie complementaria")</f>
      </c>
      <c r="J10" s="205"/>
      <c r="K10" s="30"/>
      <c r="L10" s="30"/>
      <c r="M10" s="30"/>
      <c r="N10" s="30"/>
      <c r="O10" s="33"/>
      <c r="P10" s="61"/>
      <c r="Q10" s="61"/>
      <c r="R10" s="33"/>
      <c r="S10" s="33"/>
      <c r="T10" s="33"/>
      <c r="U10" s="160"/>
      <c r="V10" s="160"/>
      <c r="W10" s="154"/>
      <c r="X10" s="154"/>
      <c r="Y10" s="154"/>
      <c r="Z10" s="154"/>
      <c r="AA10" s="154"/>
      <c r="AB10" s="154"/>
      <c r="AC10" s="154"/>
    </row>
    <row r="11" spans="1:29" ht="57.75" customHeight="1" thickBot="1">
      <c r="A11" s="30"/>
      <c r="B11" s="15" t="str">
        <f>"Punto de calibración("&amp;TEXT('Toma datos'!G27,"#,0")&amp;")"</f>
        <v>Punto de calibración(N)</v>
      </c>
      <c r="C11" s="15" t="str">
        <f>IF('Toma datos'!F43="Carga real","Carga real    (KN)","Carga indicada (KN)")</f>
        <v>Carga indicada (KN)</v>
      </c>
      <c r="D11" s="27" t="str">
        <f>IF('Toma datos'!F43="Carga Indicada","Carga indicada Fi     ("&amp;TEXT('Toma datos'!G27,"#,0")&amp;")","Carga real  ("&amp;TEXT('Toma datos'!G27,"#,0")&amp;")")</f>
        <v>Carga indicada Fi     (N)</v>
      </c>
      <c r="E11" s="229" t="str">
        <f>IF('Toma datos'!$F$43="Carga real","Fi   (   )","Carga real        F ( "&amp;TEXT('Toma datos'!G27,"#,0")&amp;"  )")</f>
        <v>Carga real        F ( N  )</v>
      </c>
      <c r="F11" s="229" t="str">
        <f>IF('Toma datos'!$F$43="Carga real","Fi   (   )","Carga real                    F ( "&amp;TEXT('Toma datos'!G27,"#,0")&amp;"  )")</f>
        <v>Carga real                    F ( N  )</v>
      </c>
      <c r="G11" s="229" t="str">
        <f>IF(F4=1,"",IF('Toma datos'!$F$43="Carga real","Fi´      (   )","Carga real        F´ ( "&amp;TEXT('Toma datos'!G27,"#,0")&amp;"  )"))</f>
        <v>Carga real        F´ ( N  )</v>
      </c>
      <c r="H11" s="229" t="str">
        <f>IF('Toma datos'!$F$43="Carga real","Fi   (   )","Carga real        F ( "&amp;TEXT('Toma datos'!G27,"#,0")&amp;"  )")</f>
        <v>Carga real        F ( N  )</v>
      </c>
      <c r="I11" s="229">
        <f>IF('Toma datos'!D21=2,"",IF('Toma datos'!$F$43="Carga real","Fic   (   )","Carga real                    Fc ( "&amp;TEXT('Toma datos'!G27,"#,0")&amp;"  )"))</f>
      </c>
      <c r="J11" s="194"/>
      <c r="K11" s="30"/>
      <c r="L11" s="14" t="str">
        <f>IF('Toma datos'!F43="Carga real","Valor indicado medio ("&amp;TEXT('Toma datos'!G27,"#,0")&amp;")","Valor medio de carga real ( "&amp;TEXT('Toma datos'!G27,"#,0")&amp;"  )")</f>
        <v>Valor medio de carga real ( N  )</v>
      </c>
      <c r="M11" s="228" t="s">
        <v>15</v>
      </c>
      <c r="N11" s="252" t="s">
        <v>16</v>
      </c>
      <c r="O11" s="252" t="str">
        <f>IF(F4=1,"","Error rel. de reversibilidad (v %):")</f>
        <v>Error rel. de reversibilidad (v %):</v>
      </c>
      <c r="P11" s="252" t="str">
        <f>IF('Toma datos'!G43=2,"Resolución relativa (a%)","")</f>
        <v>Resolución relativa (a%)</v>
      </c>
      <c r="Q11" s="252">
        <f>IF('Toma datos'!G43=1,"Resolución relativa (a%)","")</f>
      </c>
      <c r="R11" s="161">
        <f>IF('Toma datos'!D21=2,"","Comprobación adicional")</f>
      </c>
      <c r="S11" s="162">
        <f>IF('Toma datos'!D21=2,"","&lt;1,5|q|")</f>
      </c>
      <c r="T11" s="33"/>
      <c r="U11" s="160"/>
      <c r="V11" s="160"/>
      <c r="W11" s="154"/>
      <c r="X11" s="154"/>
      <c r="Y11" s="154"/>
      <c r="Z11" s="154"/>
      <c r="AA11" s="154"/>
      <c r="AB11" s="154"/>
      <c r="AC11" s="154"/>
    </row>
    <row r="12" spans="1:29" ht="13.5" thickBot="1">
      <c r="A12" s="101"/>
      <c r="B12" s="172">
        <v>0</v>
      </c>
      <c r="C12" s="173"/>
      <c r="D12" s="11">
        <v>0</v>
      </c>
      <c r="E12" s="197">
        <v>0</v>
      </c>
      <c r="F12" s="198">
        <v>0</v>
      </c>
      <c r="G12" s="199"/>
      <c r="H12" s="200">
        <v>0</v>
      </c>
      <c r="I12" s="201"/>
      <c r="J12" s="61"/>
      <c r="K12" s="30"/>
      <c r="L12" s="111">
        <f>IF(B12="","",(E12+F12+H12)/3)</f>
        <v>0</v>
      </c>
      <c r="M12" s="21">
        <f>IF(OR(B12=0,B12=""),"",IF('Toma datos'!$F$43="carga real",(L12-B12)/B12*100,(L12-B12)/L12))</f>
      </c>
      <c r="N12" s="253">
        <f>IF(OR(B12=0,B12=""),"",IF('Toma datos'!$F$43="carga real",(MAX(E12,F12,H12)-MIN(E12,F12,H12))/B12*100,(MAX(E12,F12,H12)-MIN(E12,F12,H12))/L12*100))</f>
      </c>
      <c r="O12" s="18"/>
      <c r="P12" s="61"/>
      <c r="Q12" s="61"/>
      <c r="R12" s="33"/>
      <c r="S12" s="33"/>
      <c r="T12" s="33"/>
      <c r="U12" s="160"/>
      <c r="V12" s="160"/>
      <c r="W12" s="154"/>
      <c r="X12" s="154"/>
      <c r="Y12" s="154"/>
      <c r="Z12" s="154"/>
      <c r="AA12" s="154"/>
      <c r="AB12" s="154"/>
      <c r="AC12" s="154"/>
    </row>
    <row r="13" spans="1:29" ht="13.5" thickBot="1">
      <c r="A13" s="30"/>
      <c r="B13" s="168">
        <f>IF(J5&gt;=J4,Auxiliar!F15,IF(Auxiliar!J19&lt;&gt;"",Auxiliar!J19,IF(Auxiliar!J18&lt;&gt;"",Auxiliar!J18,IF(Auxiliar!J17&lt;&gt;"",Auxiliar!J17,IF(Auxiliar!J16&lt;&gt;"",Auxiliar!J16,IF(Auxiliar!J15&lt;&gt;"",Auxiliar!J15,))))))</f>
        <v>2000</v>
      </c>
      <c r="C13" s="169">
        <f>IF('Toma datos'!$G$27="KN",D13,IF('Toma datos'!$G$27="N",D13/1000,IF('Toma datos'!$G$27="Kgf",D13*$J$1/1000,IF('Toma datos'!$G$27="Tnf",D13*$J$1,IF('Toma datos'!$G$27&lt;&gt;"KN","Pasar a KN")))))</f>
        <v>2.0023</v>
      </c>
      <c r="D13" s="195">
        <v>2002.3</v>
      </c>
      <c r="E13" s="13">
        <v>2028.90369474235</v>
      </c>
      <c r="F13" s="13">
        <v>2005.4005679244783</v>
      </c>
      <c r="G13" s="17">
        <v>2000</v>
      </c>
      <c r="H13" s="17">
        <v>2006.2012827000642</v>
      </c>
      <c r="I13" s="202"/>
      <c r="J13" s="61"/>
      <c r="K13" s="128"/>
      <c r="L13" s="111">
        <f>IF(B13="","",AVERAGE(E13:H13))</f>
        <v>2010.1263863417232</v>
      </c>
      <c r="M13" s="141">
        <f>IF(B13="","",IF('Toma datos'!$F$43="carga real",(L13-D13)/D13*100,(D13-L13)/L13*100))</f>
        <v>-0.38934797308773655</v>
      </c>
      <c r="N13" s="192">
        <f>IF(OR(B13=0,B13=""),"",IF('Toma datos'!$F$43="carga real",(MAX(E13,F13,H13,I13)-MIN(E13,F13,H13,I13))/D13*100,(MAX(E13,F13,H13,I13)-MIN(E13,F13,H13,I13))/L13*100))</f>
        <v>1.169236271787143</v>
      </c>
      <c r="O13" s="167">
        <f>IF(OR(B13=0,B13="",$F$4=1),"",IF('Toma datos'!F43="Carga real",(G13-F13)/D13*100,(G13-F13)/L13*100))</f>
        <v>-0.26866807784693236</v>
      </c>
      <c r="P13" s="19">
        <f>IF('Toma datos'!$G$43=2,IF(AND(B13&lt;='Toma datos'!$D$27,B13&gt;'Toma datos'!$C$27),'Toma datos'!$F$27/B13*100,IF(AND(B13&lt;='Toma datos'!$D$28,B13&gt;'Toma datos'!$C$28),'Toma datos'!$F$28/B13*100,IF(AND(B13&lt;='Toma datos'!$D$29,B13&gt;'Toma datos'!$C$29),'Toma datos'!$F$29/B13*100,IF(AND(B13&lt;='Toma datos'!$D$30,B13&gt;'Toma datos'!$C$30),'Toma datos'!$F$30/B13*100,"")))),"")</f>
        <v>0.005</v>
      </c>
      <c r="Q13" s="19">
        <f>IF('Toma datos'!$G$43=1,IF(AND(L13&lt;='Toma datos'!$D$27,L13&gt;'Toma datos'!$C$27),'Toma datos'!$F$27/L13*100,IF(AND(L13&lt;='Toma datos'!$D$28,L13&gt;'Toma datos'!$C$28),'Toma datos'!$F$28/L13*100,IF(AND(L13&lt;='Toma datos'!$D$29,L13&gt;'Toma datos'!$C$29),'Toma datos'!$F$29/L13*100,IF(AND(L13&lt;='Toma datos'!$D$30,L13&gt;'Toma datos'!$C$30),'Toma datos'!$F$30/L13*100,"")))),"")</f>
      </c>
      <c r="R13" s="100">
        <f>IF(OR(I13=0,I13="",'Toma datos'!$D$22=2),"",IF('Toma datos'!$G$43=1,ABS(('Toma datos 1'!I13-'Toma datos 1'!B13)/'Toma datos 1'!B13)*100,ABS((B13-I13)/I13)*100))</f>
      </c>
      <c r="S13" s="100">
        <f>IF('Toma datos'!$D$21=2,"",1.5*M13)</f>
      </c>
      <c r="T13" s="33"/>
      <c r="U13" s="160"/>
      <c r="V13" s="160"/>
      <c r="W13" s="154"/>
      <c r="X13" s="154"/>
      <c r="Y13" s="154"/>
      <c r="Z13" s="154"/>
      <c r="AA13" s="154"/>
      <c r="AB13" s="154"/>
      <c r="AC13" s="154"/>
    </row>
    <row r="14" spans="1:29" ht="13.5" thickBot="1">
      <c r="A14" s="30"/>
      <c r="B14" s="170">
        <f>IF(J5&gt;=J4,Auxiliar!F16,IF(AND(Auxiliar!J18&lt;&gt;"",Auxiliar!J18&gt;B13),Auxiliar!J18,IF(AND(Auxiliar!J17&lt;&gt;"",Auxiliar!J17&gt;B13),Auxiliar!J17,IF(AND(Auxiliar!J16&lt;&gt;"",Auxiliar!J16&gt;B13),Auxiliar!J16,IF(AND(Auxiliar!J15&lt;&gt;"",Auxiliar!J15&gt;B13),Auxiliar!J15,IF(AND(B13=MAX(J4:J5),B13&lt;&gt;J6*40/100,B13&lt;&gt;J5),J6*40/100,IF(B13=J6*40/100,J6*60/100,Auxiliar!F16)))))))</f>
        <v>4000</v>
      </c>
      <c r="C14" s="169">
        <f>IF('Toma datos'!$G$27="KN",D14,IF('Toma datos'!$G$27="N",D14/1000,IF('Toma datos'!$G$27="Kgf",D14*$J$1/1000,IF('Toma datos'!$G$27="Tnf",D14*$J$1,IF('Toma datos'!$G$27&lt;&gt;"KN","Pasar a KN")))))</f>
        <v>4</v>
      </c>
      <c r="D14" s="195">
        <v>4000</v>
      </c>
      <c r="E14" s="13">
        <v>4014.0593532297535</v>
      </c>
      <c r="F14" s="13">
        <v>4009.0555444493293</v>
      </c>
      <c r="G14" s="16">
        <v>4000</v>
      </c>
      <c r="H14" s="17">
        <v>4011.45737285922</v>
      </c>
      <c r="I14" s="203"/>
      <c r="J14" s="61"/>
      <c r="K14" s="128"/>
      <c r="L14" s="111">
        <f>IF(B14="","",AVERAGE(E14:H14))</f>
        <v>4008.643067634576</v>
      </c>
      <c r="M14" s="141">
        <f>IF(B14="","",IF('Toma datos'!$F$43="carga real",(L14-D14)/D14*100,(D14-L14)/L14*100))</f>
        <v>-0.2156108061692784</v>
      </c>
      <c r="N14" s="192">
        <f>IF(OR(B14=0,B14=""),"",IF('Toma datos'!$F$43="carga real",(MAX(E14,F14,H14,I14)-MIN(E14,F14,H14,I14))/D14*100,(MAX(E14,F14,H14,I14)-MIN(E14,F14,H14,I14))/L14*100))</f>
        <v>0.12482550069933775</v>
      </c>
      <c r="O14" s="167">
        <f>IF(OR(B14=0,B14="",$F$4=1),"",IF('Toma datos'!F44="Carga real",(G14-F14)/D14*100,(G14-F14)/L14*100))</f>
        <v>-0.22590049292347752</v>
      </c>
      <c r="P14" s="19">
        <f>IF('Toma datos'!$G$43=2,IF(AND(B14&lt;='Toma datos'!$D$27,B14&gt;'Toma datos'!$C$27),'Toma datos'!$F$27/B14*100,IF(AND(B14&lt;='Toma datos'!$D$28,B14&gt;'Toma datos'!$C$28),'Toma datos'!$F$28/B14*100,IF(AND(B14&lt;='Toma datos'!$D$29,B14&gt;'Toma datos'!$C$29),'Toma datos'!$F$29/B14*100,IF(AND(B14&lt;='Toma datos'!$D$30,B14&gt;'Toma datos'!$C$30),'Toma datos'!$F$30/B14*100,"")))),"")</f>
        <v>0.0025</v>
      </c>
      <c r="Q14" s="19">
        <f>IF('Toma datos'!$G$43=1,IF(AND(L14&lt;='Toma datos'!$D$27,L14&gt;'Toma datos'!$C$27),'Toma datos'!$F$27/L14*100,IF(AND(L14&lt;='Toma datos'!$D$28,L14&gt;'Toma datos'!$C$28),'Toma datos'!$F$28/L14*100,IF(AND(L14&lt;='Toma datos'!$D$29,L14&gt;'Toma datos'!$C$29),'Toma datos'!$F$29/L14*100,IF(AND(L14&lt;='Toma datos'!$D$30,L14&gt;'Toma datos'!$C$30),'Toma datos'!$F$30/L14*100,"")))),"")</f>
      </c>
      <c r="R14" s="100">
        <f>IF(OR(I14=0,I14="",'Toma datos'!$D$22=2),"",IF('Toma datos'!$G$43=1,ABS(('Toma datos 1'!I14-'Toma datos 1'!B14)/'Toma datos 1'!B14)*100,ABS((B14-I14)/I14)*100))</f>
      </c>
      <c r="S14" s="100">
        <f>IF('Toma datos'!$D$21=2,"",1.5*M14)</f>
      </c>
      <c r="T14" s="33"/>
      <c r="U14" s="160"/>
      <c r="V14" s="160"/>
      <c r="W14" s="154"/>
      <c r="X14" s="154"/>
      <c r="Y14" s="154"/>
      <c r="Z14" s="154"/>
      <c r="AA14" s="154"/>
      <c r="AB14" s="154"/>
      <c r="AC14" s="154"/>
    </row>
    <row r="15" spans="1:29" ht="13.5" thickBot="1">
      <c r="A15" s="30"/>
      <c r="B15" s="170">
        <f>IF(AND(Auxiliar!J17&lt;&gt;"",Auxiliar!J17&gt;B14),Auxiliar!J17,IF(AND(Auxiliar!J16&lt;&gt;"",Auxiliar!J16&gt;B14),Auxiliar!J16,IF(AND(Auxiliar!J15&lt;&gt;"",Auxiliar!J15&gt;B14),Auxiliar!J15,IF(AND(B14=MAX(J4:J5),B14&lt;&gt;J6*40/100),J6*40/100,IF(B14=J6*40/100,J6*60/100,IF(B14=J6*60/100,J6*80/100,IF(B14=J6*80/100,J6*100/100,Auxiliar!F17)))))))</f>
        <v>6000</v>
      </c>
      <c r="C15" s="169">
        <f>IF('Toma datos'!$G$27="KN",D15,IF('Toma datos'!$G$27="N",D15/1000,IF('Toma datos'!$G$27="Kgf",D15*$J$1/1000,IF('Toma datos'!$G$27="Tnf",D15*$J$1,IF('Toma datos'!$G$27&lt;&gt;"KN","Pasar a KN")))))</f>
        <v>6</v>
      </c>
      <c r="D15" s="195">
        <v>6000</v>
      </c>
      <c r="E15" s="13">
        <v>6021.365338880756</v>
      </c>
      <c r="F15" s="13">
        <v>6015.461548064255</v>
      </c>
      <c r="G15" s="16">
        <v>6000</v>
      </c>
      <c r="H15" s="17">
        <v>6018.163283088027</v>
      </c>
      <c r="I15" s="203"/>
      <c r="J15" s="61"/>
      <c r="K15" s="128"/>
      <c r="L15" s="111">
        <f>IF(B15="","",AVERAGE(E15:H15))</f>
        <v>6013.747542508259</v>
      </c>
      <c r="M15" s="141">
        <f>IF(B15="","",IF('Toma datos'!$F$43="carga real",(L15-D15)/D15*100,(D15-L15)/L15*100))</f>
        <v>-0.22860192269603372</v>
      </c>
      <c r="N15" s="192">
        <f>IF(OR(B15=0,B15=""),"",IF('Toma datos'!$F$43="carga real",(MAX(E15,F15,H15,I15)-MIN(E15,F15,H15,I15))/D15*100,(MAX(E15,F15,H15,I15)-MIN(E15,F15,H15,I15))/L15*100))</f>
        <v>0.09817157728637524</v>
      </c>
      <c r="O15" s="167">
        <f>IF(OR(B15=0,B15="",$F$4=1),"",IF('Toma datos'!F45="Carga real",(G15-F15)/D15*100,(G15-F15)/L15*100))</f>
        <v>-0.25710337780169423</v>
      </c>
      <c r="P15" s="19">
        <f>IF('Toma datos'!$G$43=2,IF(AND(B15&lt;='Toma datos'!$D$27,B15&gt;'Toma datos'!$C$27),'Toma datos'!$F$27/B15*100,IF(AND(B15&lt;='Toma datos'!$D$28,B15&gt;'Toma datos'!$C$28),'Toma datos'!$F$28/B15*100,IF(AND(B15&lt;='Toma datos'!$D$29,B15&gt;'Toma datos'!$C$29),'Toma datos'!$F$29/B15*100,IF(AND(B15&lt;='Toma datos'!$D$30,B15&gt;'Toma datos'!$C$30),'Toma datos'!$F$30/B15*100,"")))),"")</f>
        <v>0.0016666666666666668</v>
      </c>
      <c r="Q15" s="19">
        <f>IF('Toma datos'!$G$43=1,IF(AND(L15&lt;='Toma datos'!$D$27,L15&gt;'Toma datos'!$C$27),'Toma datos'!$F$27/L15*100,IF(AND(L15&lt;='Toma datos'!$D$28,L15&gt;'Toma datos'!$C$28),'Toma datos'!$F$28/L15*100,IF(AND(L15&lt;='Toma datos'!$D$29,L15&gt;'Toma datos'!$C$29),'Toma datos'!$F$29/L15*100,IF(AND(L15&lt;='Toma datos'!$D$30,L15&gt;'Toma datos'!$C$30),'Toma datos'!$F$30/L15*100,"")))),"")</f>
      </c>
      <c r="R15" s="100">
        <f>IF(OR(I15=0,I15="",'Toma datos'!$D$22=2),"",IF('Toma datos'!$G$43=1,ABS(('Toma datos 1'!I15-'Toma datos 1'!B15)/'Toma datos 1'!B15)*100,ABS((B15-I15)/I15)*100))</f>
      </c>
      <c r="S15" s="100">
        <f>IF('Toma datos'!$D$21=2,"",1.5*M15)</f>
      </c>
      <c r="T15" s="33"/>
      <c r="U15" s="160"/>
      <c r="V15" s="160"/>
      <c r="W15" s="154"/>
      <c r="X15" s="154"/>
      <c r="Y15" s="154"/>
      <c r="Z15" s="154"/>
      <c r="AA15" s="154"/>
      <c r="AB15" s="154"/>
      <c r="AC15" s="154"/>
    </row>
    <row r="16" spans="1:29" s="4" customFormat="1" ht="13.5" thickBot="1">
      <c r="A16" s="30"/>
      <c r="B16" s="170">
        <f>IF(AND(Auxiliar!J16&lt;&gt;"",Auxiliar!J16&gt;B15),Auxiliar!J16,IF(AND(Auxiliar!J15&lt;&gt;"",Auxiliar!J15&gt;B15),Auxiliar!J15,IF(B15=MAX(J4:J5),J6*40/100,IF(B15=J6*40/100,J6*60/100,IF(B15=J6*60/100,J6*80/100,IF(B15=J6*80/100,J6*100/100,Auxiliar!F18))))))</f>
        <v>8000</v>
      </c>
      <c r="C16" s="169">
        <f>IF('Toma datos'!$G$27="KN",D16,IF('Toma datos'!$G$27="N",D16/1000,IF('Toma datos'!$G$27="Kgf",D16*$J$1/1000,IF('Toma datos'!$G$27="Tnf",D16*$J$1,IF('Toma datos'!$G$27&lt;&gt;"KN","Pasar a KN")))))</f>
        <v>8.0013</v>
      </c>
      <c r="D16" s="195">
        <v>8001.3</v>
      </c>
      <c r="E16" s="13">
        <v>8030.145626724688</v>
      </c>
      <c r="F16" s="13">
        <v>8022.841715710234</v>
      </c>
      <c r="G16" s="17">
        <v>8000</v>
      </c>
      <c r="H16" s="17">
        <v>8026.943912635787</v>
      </c>
      <c r="I16" s="202"/>
      <c r="J16" s="61"/>
      <c r="K16" s="128"/>
      <c r="L16" s="111">
        <f>IF(B16="","",AVERAGE(E16:H16))</f>
        <v>8019.982813767677</v>
      </c>
      <c r="M16" s="141">
        <f>IF(B16="","",IF('Toma datos'!$F$43="carga real",(L16-D16)/D16*100,(D16-L16)/L16*100))</f>
        <v>-0.23295328932132348</v>
      </c>
      <c r="N16" s="192">
        <f>IF(OR(B16=0,B16=""),"",IF('Toma datos'!$F$43="carga real",(MAX(E16,F16,H16,I16)-MIN(E16,F16,H16,I16))/D16*100,(MAX(E16,F16,H16,I16)-MIN(E16,F16,H16,I16))/L16*100))</f>
        <v>0.09107140481542235</v>
      </c>
      <c r="O16" s="167">
        <f>IF(OR(B16=0,B16="",$F$4=1),"",IF('Toma datos'!F46="Carga real",(G16-F16)/D16*100,(G16-F16)/L16*100))</f>
        <v>-0.2848100331464833</v>
      </c>
      <c r="P16" s="19">
        <f>IF('Toma datos'!$G$43=2,IF(AND(B16&lt;='Toma datos'!$D$27,B16&gt;'Toma datos'!$C$27),'Toma datos'!$F$27/B16*100,IF(AND(B16&lt;='Toma datos'!$D$28,B16&gt;'Toma datos'!$C$28),'Toma datos'!$F$28/B16*100,IF(AND(B16&lt;='Toma datos'!$D$29,B16&gt;'Toma datos'!$C$29),'Toma datos'!$F$29/B16*100,IF(AND(B16&lt;='Toma datos'!$D$30,B16&gt;'Toma datos'!$C$30),'Toma datos'!$F$30/B16*100,"")))),"")</f>
        <v>0.00125</v>
      </c>
      <c r="Q16" s="19">
        <f>IF('Toma datos'!$G$43=1,IF(AND(L16&lt;='Toma datos'!$D$27,L16&gt;'Toma datos'!$C$27),'Toma datos'!$F$27/L16*100,IF(AND(L16&lt;='Toma datos'!$D$28,L16&gt;'Toma datos'!$C$28),'Toma datos'!$F$28/L16*100,IF(AND(L16&lt;='Toma datos'!$D$29,L16&gt;'Toma datos'!$C$29),'Toma datos'!$F$29/L16*100,IF(AND(L16&lt;='Toma datos'!$D$30,L16&gt;'Toma datos'!$C$30),'Toma datos'!$F$30/L16*100,"")))),"")</f>
      </c>
      <c r="R16" s="100">
        <f>IF(OR(I16=0,I16="",'Toma datos'!$D$22=2),"",IF('Toma datos'!$G$43=1,ABS(('Toma datos 1'!I16-'Toma datos 1'!B16)/'Toma datos 1'!B16)*100,ABS((B16-I16)/I16)*100))</f>
      </c>
      <c r="S16" s="100">
        <f>IF('Toma datos'!$D$21=2,"",1.5*M16)</f>
      </c>
      <c r="T16" s="33"/>
      <c r="U16" s="160"/>
      <c r="V16" s="160"/>
      <c r="W16" s="154"/>
      <c r="X16" s="154"/>
      <c r="Y16" s="154"/>
      <c r="Z16" s="154"/>
      <c r="AA16" s="154"/>
      <c r="AB16" s="154"/>
      <c r="AC16" s="154"/>
    </row>
    <row r="17" spans="1:29" ht="13.5" thickBot="1">
      <c r="A17" s="30"/>
      <c r="B17" s="170">
        <f>IF(AND(Auxiliar!J15&lt;&gt;"",Auxiliar!J15&gt;B16),Auxiliar!J15,IF(B16=MAX(J4:J5),J6*40/100,IF(B16=J6*40/100,J6*60/100,IF(B16=J6*60/100,J6*80/100,IF(B16=J6*80/100,J6*100/100,IF(B16=J6,0,Auxiliar!F19))))))</f>
        <v>10000</v>
      </c>
      <c r="C17" s="169">
        <f>IF('Toma datos'!$G$27="KN",D17,IF('Toma datos'!$G$27="N",D17/1000,IF('Toma datos'!$G$27="Kgf",D17*$J$1/1000,IF('Toma datos'!$G$27="Tnf",D17*$J$1,IF('Toma datos'!$G$27&lt;&gt;"KN","Pasar a KN")))))</f>
        <v>10</v>
      </c>
      <c r="D17" s="195">
        <v>10000</v>
      </c>
      <c r="E17" s="13">
        <v>9965.2964788579</v>
      </c>
      <c r="F17" s="13">
        <v>9988</v>
      </c>
      <c r="G17" s="16">
        <v>9969</v>
      </c>
      <c r="H17" s="17">
        <v>9984</v>
      </c>
      <c r="I17" s="203"/>
      <c r="J17" s="61"/>
      <c r="K17" s="128"/>
      <c r="L17" s="111">
        <f>IF(B17="","",AVERAGE(E17:H17))</f>
        <v>9976.574119714474</v>
      </c>
      <c r="M17" s="141">
        <f>IF(B17="","",IF('Toma datos'!$F$43="carga real",(L17-D17)/D17*100,(D17-L17)/L17*100))</f>
        <v>0.23480886328739142</v>
      </c>
      <c r="N17" s="192">
        <f>IF(OR(B17=0,B17=""),"",IF('Toma datos'!$F$43="carga real",(MAX(E17,F17,H17,I17)-MIN(E17,F17,H17,I17))/D17*100,(MAX(E17,F17,H17,I17)-MIN(E17,F17,H17,I17))/L17*100))</f>
        <v>0.22756831022020707</v>
      </c>
      <c r="O17" s="167">
        <f>IF(OR(B17=0,B17="",$F$4=1),"",IF('Toma datos'!F47="Carga real",(G17-F17)/D17*100,(G17-F17)/L17*100))</f>
        <v>-0.19044613684024606</v>
      </c>
      <c r="P17" s="19">
        <f>IF('Toma datos'!$G$43=2,IF(AND(B17&lt;='Toma datos'!$D$27,B17&gt;'Toma datos'!$C$27),'Toma datos'!$F$27/B17*100,IF(AND(B17&lt;='Toma datos'!$D$28,B17&gt;'Toma datos'!$C$28),'Toma datos'!$F$28/B17*100,IF(AND(B17&lt;='Toma datos'!$D$29,B17&gt;'Toma datos'!$C$29),'Toma datos'!$F$29/B17*100,IF(AND(B17&lt;='Toma datos'!$D$30,B17&gt;'Toma datos'!$C$30),'Toma datos'!$F$30/B17*100,"")))),"")</f>
        <v>0.001</v>
      </c>
      <c r="Q17" s="19">
        <f>IF('Toma datos'!$G$43=1,IF(AND(L17&lt;='Toma datos'!$D$27,L17&gt;'Toma datos'!$C$27),'Toma datos'!$F$27/L17*100,IF(AND(L17&lt;='Toma datos'!$D$28,L17&gt;'Toma datos'!$C$28),'Toma datos'!$F$28/L17*100,IF(AND(L17&lt;='Toma datos'!$D$29,L17&gt;'Toma datos'!$C$29),'Toma datos'!$F$29/L17*100,IF(AND(L17&lt;='Toma datos'!$D$30,L17&gt;'Toma datos'!$C$30),'Toma datos'!$F$30/L17*100,"")))),"")</f>
      </c>
      <c r="R17" s="100">
        <f>IF(OR(I17=0,I17="",'Toma datos'!$D$22=2),"",IF('Toma datos'!$G$43=1,ABS(('Toma datos 1'!I17-'Toma datos 1'!B17)/'Toma datos 1'!B17)*100,ABS((B17-I17)/I17)*100))</f>
      </c>
      <c r="S17" s="100">
        <f>IF('Toma datos'!$D$21=2,"",1.5*M17)</f>
      </c>
      <c r="T17" s="33"/>
      <c r="U17" s="160"/>
      <c r="V17" s="160"/>
      <c r="W17" s="154"/>
      <c r="X17" s="154"/>
      <c r="Y17" s="154"/>
      <c r="Z17" s="154"/>
      <c r="AA17" s="154"/>
      <c r="AB17" s="154"/>
      <c r="AC17" s="154"/>
    </row>
    <row r="18" spans="1:29" ht="13.5" thickBot="1">
      <c r="A18" s="30"/>
      <c r="B18" s="170">
        <f>IF(J5&gt;J4,Auxiliar!F20,IF(B17=MAX(J4:J5),J6*40/100,IF(B17=J6*40/100,J6*60/100,IF(B17=J6*60/100,J6*80/100,IF(B17=J6*80/100,J6*100/100,IF(B17=J6,0,""))))))</f>
        <v>0</v>
      </c>
      <c r="C18" s="174">
        <f>IF(B18="","",IF('Toma datos'!$G$27="KN",D18,IF('Toma datos'!$G$27="N",D18/1000,IF('Toma datos'!$G$27="Kgf",D18*$J$1/1000,IF('Toma datos'!$G$27="Tnf",D18*$J$1,IF('Toma datos'!$G$27&lt;&gt;"KN","Pasar a KN"))))))</f>
        <v>0</v>
      </c>
      <c r="D18" s="195">
        <v>0</v>
      </c>
      <c r="E18" s="13">
        <v>-1.333277116080729</v>
      </c>
      <c r="F18" s="13"/>
      <c r="G18" s="16">
        <v>5</v>
      </c>
      <c r="H18" s="17">
        <v>0.4685908204801552</v>
      </c>
      <c r="I18" s="203"/>
      <c r="J18" s="61"/>
      <c r="K18" s="30"/>
      <c r="L18" s="111">
        <f>IF(OR(B18=0,B18=""),"",AVERAGE(E18:H18))</f>
      </c>
      <c r="M18" s="21">
        <f>IF(OR(B18=0,B18=""),"",IF('Toma datos'!$F$43="carga real",(L18-D18)/D18*100,(D18-L18)/L18*100))</f>
      </c>
      <c r="N18" s="20">
        <f>IF(OR(B18=0,B18=""),"",IF('Toma datos'!$F$43="carga real",(MAX(E18,F18,H18,I18)-MIN(E18,F18,H18,I18))/D18*100,(MAX(E18,F18,H18,I18)-MIN(E18,F18,H18,I18))/L18*100))</f>
      </c>
      <c r="O18" s="167">
        <f>IF(OR(B18=0,B18="",$F$4=1),"",IF('Toma datos'!F48="Carga real",(G18-F18)/D18*100,(G18-F18)/L18*100))</f>
      </c>
      <c r="P18" s="19">
        <f>IF('Toma datos'!$G$43=2,IF(AND(B18&lt;='Toma datos'!$D$27,B18&gt;'Toma datos'!$C$27),'Toma datos'!$F$27/B18*100,IF(AND(B18&lt;='Toma datos'!$D$28,B18&gt;'Toma datos'!$C$28),'Toma datos'!$F$28/B18*100,IF(AND(B18&lt;='Toma datos'!$D$29,B18&gt;'Toma datos'!$C$29),'Toma datos'!$F$29/B18*100,IF(AND(B18&lt;='Toma datos'!$D$30,B18&gt;'Toma datos'!$C$30),'Toma datos'!$F$30/B18*100,"")))),"")</f>
      </c>
      <c r="Q18" s="19">
        <f>IF('Toma datos'!$G$43=1,IF(AND(L18&lt;='Toma datos'!$D$27,L18&gt;'Toma datos'!$C$27),'Toma datos'!$F$27/L18*100,IF(AND(L18&lt;='Toma datos'!$D$28,L18&gt;'Toma datos'!$C$28),'Toma datos'!$F$28/L18*100,IF(AND(L18&lt;='Toma datos'!$D$29,L18&gt;'Toma datos'!$C$29),'Toma datos'!$F$29/L18*100,IF(AND(L18&lt;='Toma datos'!$D$30,L18&gt;'Toma datos'!$C$30),'Toma datos'!$F$30/L18*100,"")))),"")</f>
      </c>
      <c r="R18" s="100">
        <f>IF(OR(I18=0,I18="",'Toma datos'!$D$22=2),"",IF('Toma datos'!$G$43=1,ABS(('Toma datos 1'!I18-'Toma datos 1'!B18)/'Toma datos 1'!B18)*100,ABS((B18-I18)/I18)*100))</f>
      </c>
      <c r="S18" s="100">
        <f>IF('Toma datos'!$D$21=2,"",1.5*M18)</f>
      </c>
      <c r="T18" s="33"/>
      <c r="U18" s="160"/>
      <c r="V18" s="160"/>
      <c r="W18" s="154"/>
      <c r="X18" s="154"/>
      <c r="Y18" s="154"/>
      <c r="Z18" s="154"/>
      <c r="AA18" s="154"/>
      <c r="AB18" s="154"/>
      <c r="AC18" s="154"/>
    </row>
    <row r="19" spans="1:29" ht="13.5" thickBot="1">
      <c r="A19" s="30"/>
      <c r="B19" s="170">
        <f>IF(B18=MAX($J$4:$J$4),J6*40/100,IF(B18=J6*40/100,J6*60/100,IF(B18=J6*60/100,J6*80/100,IF(B18=J6*80/100,J6*100/100,IF(B18=J6,0,"")))))</f>
      </c>
      <c r="C19" s="169">
        <f>IF(B19="","",IF('Toma datos'!$G$27="KN",D19,IF('Toma datos'!$G$27="N",D19/1000,IF('Toma datos'!$G$27="Kgf",D9*$J$1/1000,IF('Toma datos'!$G$27="Tnf",D19*$J$1,IF('Toma datos'!$G$27&lt;&gt;"KN","Pasar a KN"))))))</f>
      </c>
      <c r="D19" s="195"/>
      <c r="E19" s="17"/>
      <c r="F19" s="13"/>
      <c r="G19" s="16"/>
      <c r="H19" s="17"/>
      <c r="I19" s="203"/>
      <c r="J19" s="61"/>
      <c r="K19" s="30"/>
      <c r="L19" s="111">
        <f>IF(OR(B19=0,B19=""),"",AVERAGE(E19:H19))</f>
      </c>
      <c r="M19" s="21">
        <f>IF(OR(B19=0,B19=""),"",IF('Toma datos'!$F$43="carga real",(L19-D19)/D19*100,(D19-L19)/L19*100))</f>
      </c>
      <c r="N19" s="20">
        <f>IF(OR(B19=0,B19=""),"",IF('Toma datos'!$F$43="carga real",(MAX(E19,F19,H19,I19)-MIN(E19,F19,H19,I19))/D19*100,(MAX(E19,F19,H19,I19)-MIN(E19,F19,H19,I19))/L19*100))</f>
      </c>
      <c r="O19" s="167">
        <f>IF(OR(B19=0,B19="",$F$4=1),"",IF('Toma datos'!F49="Carga real",(G19-F19)/D19*100,(G19-F19)/L19*100))</f>
      </c>
      <c r="P19" s="19">
        <f>IF('Toma datos'!$G$43=2,IF(AND(B19&lt;='Toma datos'!$D$27,B19&gt;'Toma datos'!$C$27),'Toma datos'!$F$27/B19*100,IF(AND(B19&lt;='Toma datos'!$D$28,B19&gt;'Toma datos'!$C$28),'Toma datos'!$F$28/B19*100,IF(AND(B19&lt;='Toma datos'!$D$29,B19&gt;'Toma datos'!$C$29),'Toma datos'!$F$29/B19*100,IF(AND(B19&lt;='Toma datos'!$D$30,B19&gt;'Toma datos'!$C$30),'Toma datos'!$F$30/B19*100,"")))),"")</f>
      </c>
      <c r="Q19" s="19">
        <f>IF('Toma datos'!$G$43=1,IF(AND(C19&lt;='Toma datos'!$D$27,C19&gt;'Toma datos'!$C$27),'Toma datos'!$F$27/C19*100,IF(AND(C19&lt;='Toma datos'!$D$28,C19&gt;'Toma datos'!$C$28),'Toma datos'!$F$28/C19*100,IF(AND(C19&lt;='Toma datos'!$D$29,C19&gt;'Toma datos'!$C$29),'Toma datos'!$F$29/C19*100,IF(AND(C19&lt;='Toma datos'!$D$30,C19&gt;'Toma datos'!$C$30),'Toma datos'!$F$30/C19*100,"")))),"")</f>
      </c>
      <c r="R19" s="100">
        <f>IF(OR(I19=0,I19="",'Toma datos'!$D$22=2),"",IF('Toma datos'!$G$43=1,ABS(('Toma datos 1'!I19-'Toma datos 1'!B19)/'Toma datos 1'!B19)*100,ABS((B19-I19)/I19)*100))</f>
      </c>
      <c r="S19" s="100">
        <f>IF('Toma datos'!$D$21=2,"",1.5*M19)</f>
      </c>
      <c r="T19" s="33"/>
      <c r="U19" s="160"/>
      <c r="V19" s="160"/>
      <c r="W19" s="154"/>
      <c r="X19" s="154"/>
      <c r="Y19" s="154"/>
      <c r="Z19" s="154"/>
      <c r="AA19" s="154"/>
      <c r="AB19" s="154"/>
      <c r="AC19" s="154"/>
    </row>
    <row r="20" spans="1:29" ht="13.5" thickBot="1">
      <c r="A20" s="30"/>
      <c r="B20" s="170">
        <f>IF(B19=MAX($J$4:$J$5),J6*40/100,IF(B19=J6*40/100,J6*60/100,IF(B19=J6*60/100,J6*80/100,IF(B19=J6*80/100,J6*100/100,IF(B19=J6,0,"")))))</f>
      </c>
      <c r="C20" s="169">
        <f>IF(B20="","",IF('Toma datos'!$G$27="KN",D20,IF('Toma datos'!$G$27="N",D20/1000,IF('Toma datos'!$G$27="Kgf",D20*$J$1/1000,IF('Toma datos'!$G$27="Tnf",D20*$J$1,IF('Toma datos'!$G$27&lt;&gt;"KN","Pasar a KN"))))))</f>
      </c>
      <c r="D20" s="196"/>
      <c r="E20" s="17"/>
      <c r="F20" s="13"/>
      <c r="G20" s="16"/>
      <c r="H20" s="17"/>
      <c r="I20" s="204"/>
      <c r="J20" s="61"/>
      <c r="K20" s="30"/>
      <c r="L20" s="111">
        <f>IF(OR(B20=0,B20=""),"",AVERAGE(E20:H20))</f>
      </c>
      <c r="M20" s="21">
        <f>IF(OR(B20=0,B20=""),"",IF('Toma datos'!$F$43="carga real",(L20-D20)/D20*100,(D20-L20)/L20*100))</f>
      </c>
      <c r="N20" s="20">
        <f>IF(OR(B20=0,B20=""),"",IF('Toma datos'!$F$43="carga real",(MAX(E20,F20,H20,I20)-MIN(E20,F20,H20,I20))/D20*100,(MAX(E20,F20,H20,I20)-MIN(E20,F20,H20,I20))/L20*100))</f>
      </c>
      <c r="O20" s="167">
        <f>IF(OR(B20=0,B20="",$F$4=1),"",IF('Toma datos'!F50="Carga real",(G20-F20)/D20*100,(G20-F20)/L20*100))</f>
      </c>
      <c r="P20" s="19">
        <f>IF('Toma datos'!$G$43=2,IF(AND(B20&lt;='Toma datos'!$D$27,B20&gt;'Toma datos'!$C$27),'Toma datos'!$F$27/B20*100,IF(AND(B20&lt;='Toma datos'!$D$28,B20&gt;'Toma datos'!$C$28),'Toma datos'!$F$28/B20*100,IF(AND(B20&lt;='Toma datos'!$D$29,B20&gt;'Toma datos'!$C$29),'Toma datos'!$F$29/B20*100,IF(AND(B20&lt;='Toma datos'!$D$30,B20&gt;'Toma datos'!$C$30),'Toma datos'!$F$30/B20*100,"")))),"")</f>
      </c>
      <c r="Q20" s="19">
        <f>IF('Toma datos'!$G$43=1,IF(AND(C20&lt;='Toma datos'!$D$27,C20&gt;'Toma datos'!$C$27),'Toma datos'!$F$27/C20*100,IF(AND(C20&lt;='Toma datos'!$D$28,C20&gt;'Toma datos'!$C$28),'Toma datos'!$F$28/C20*100,IF(AND(C20&lt;='Toma datos'!$D$29,C20&gt;'Toma datos'!$C$29),'Toma datos'!$F$29/C20*100,IF(AND(C20&lt;='Toma datos'!$D$30,C20&gt;'Toma datos'!$C$30),'Toma datos'!$F$30/C20*100,"")))),"")</f>
      </c>
      <c r="R20" s="100">
        <f>IF(OR(I20=0,I20="",'Toma datos'!$D$22=2),"",IF('Toma datos'!$G$43=1,ABS(('Toma datos 1'!I20-'Toma datos 1'!B20)/'Toma datos 1'!B20)*100,ABS((B20-I20)/I20)*100))</f>
      </c>
      <c r="S20" s="100">
        <f>IF('Toma datos'!$D$21=2,"",1.5*M20)</f>
      </c>
      <c r="T20" s="33"/>
      <c r="U20" s="160"/>
      <c r="V20" s="160"/>
      <c r="W20" s="154"/>
      <c r="X20" s="154"/>
      <c r="Y20" s="154"/>
      <c r="Z20" s="154"/>
      <c r="AA20" s="154"/>
      <c r="AB20" s="154"/>
      <c r="AC20" s="154"/>
    </row>
    <row r="21" spans="1:29" ht="13.5" thickBot="1">
      <c r="A21" s="30"/>
      <c r="B21" s="170">
        <f>IF(B20=MAX($J$4:$J$5),J6*40/100,IF(B20=J6*40/100,J6*60/100,IF(B20=J6*60/100,J6*80/100,IF(B20=J6*80/100,J6*100/100,IF(B20=J6,0,"")))))</f>
      </c>
      <c r="C21" s="169">
        <f>IF(B21="","",IF('Toma datos'!$G$27="KN",D21,IF('Toma datos'!$G$27="N",D21/1000,IF('Toma datos'!$G$27="Kgf",D21*$J$1/1000,IF('Toma datos'!$G$27="Tnf",D21*$J$1,IF('Toma datos'!$G$27&lt;&gt;"KN","Pasar a KN"))))))</f>
      </c>
      <c r="D21" s="195"/>
      <c r="E21" s="17"/>
      <c r="F21" s="13"/>
      <c r="G21" s="17"/>
      <c r="H21" s="17"/>
      <c r="I21" s="202"/>
      <c r="J21" s="61"/>
      <c r="K21" s="30"/>
      <c r="L21" s="111">
        <f>IF(OR(B21=0,B21=""),"",AVERAGE(E21:H21))</f>
      </c>
      <c r="M21" s="21">
        <f>IF(OR(B21=0,B21=""),"",IF('Toma datos'!$F$43="carga real",(L21-D21)/D21*100,(D21-L21)/L21*100))</f>
      </c>
      <c r="N21" s="20">
        <f>IF(OR(B21=0,B21=""),"",IF('Toma datos'!$F$43="carga real",(MAX(E21,F21,H21,I21)-MIN(E21,F21,H21,I21))/D21*100,(MAX(E21,F21,H21,I21)-MIN(E21,F21,H21,I21))/L21*100))</f>
      </c>
      <c r="O21" s="167">
        <f>IF(OR(B21=0,B21="",$F$4=1),"",IF('Toma datos'!F51="Carga real",(G21-F21)/D21*100,(G21-F21)/L21*100))</f>
      </c>
      <c r="P21" s="19">
        <f>IF('Toma datos'!$G$43=2,IF(AND(B21&lt;='Toma datos'!$D$27,B21&gt;'Toma datos'!$C$27),'Toma datos'!$F$27/B21*100,IF(AND(B21&lt;='Toma datos'!$D$28,B21&gt;'Toma datos'!$C$28),'Toma datos'!$F$28/B21*100,IF(AND(B21&lt;='Toma datos'!$D$29,B21&gt;'Toma datos'!$C$29),'Toma datos'!$F$29/B21*100,IF(AND(B21&lt;='Toma datos'!$D$30,B21&gt;'Toma datos'!$C$30),'Toma datos'!$F$30/B21*100,"")))),"")</f>
      </c>
      <c r="Q21" s="19">
        <f>IF('Toma datos'!$G$43=1,IF(AND(C21&lt;='Toma datos'!$D$27,C21&gt;'Toma datos'!$C$27),'Toma datos'!$F$27/C21*100,IF(AND(C21&lt;='Toma datos'!$D$28,C21&gt;'Toma datos'!$C$28),'Toma datos'!$F$28/C21*100,IF(AND(C21&lt;='Toma datos'!$D$29,C21&gt;'Toma datos'!$C$29),'Toma datos'!$F$29/C21*100,IF(AND(C21&lt;='Toma datos'!$D$30,C21&gt;'Toma datos'!$C$30),'Toma datos'!$F$30/C21*100,"")))),"")</f>
      </c>
      <c r="R21" s="100">
        <f>IF(OR(I21=0,I21="",'Toma datos'!$D$22=2),"",IF('Toma datos'!$G$43=1,ABS(('Toma datos 1'!I21-'Toma datos 1'!B21)/'Toma datos 1'!B21)*100,ABS((B21-I21)/I21)*100))</f>
      </c>
      <c r="S21" s="100">
        <f>IF('Toma datos'!$D$21=2,"",1.5*M21)</f>
      </c>
      <c r="T21" s="33"/>
      <c r="U21" s="160"/>
      <c r="V21" s="160"/>
      <c r="W21" s="154"/>
      <c r="X21" s="154"/>
      <c r="Y21" s="154"/>
      <c r="Z21" s="154"/>
      <c r="AA21" s="154"/>
      <c r="AB21" s="154"/>
      <c r="AC21" s="154"/>
    </row>
    <row r="22" spans="1:29" s="4" customFormat="1" ht="12.75">
      <c r="A22" s="30"/>
      <c r="B22" s="171">
        <f>IF(B21=MAX($J$4:$J$5),J6*40/100,IF(B21=J6*40/100,J6*60/100,IF(B21=J6*60/100,J6*80/100,IF(B21=J6*80/100,J6*100/100,IF(B21=J6,0,"")))))</f>
      </c>
      <c r="C22" s="169">
        <f>IF(B22="","",IF('Toma datos'!$G$27="KN",D22,IF('Toma datos'!$G$27="N",D22/1000,IF('Toma datos'!$G$27="Kgf",D22*$J$1/1000,IF('Toma datos'!$G$27="Tnf",D22*$J$1,IF('Toma datos'!$G$27&lt;&gt;"KN","Pasar a KN"))))))</f>
      </c>
      <c r="D22" s="195"/>
      <c r="E22" s="17"/>
      <c r="F22" s="13"/>
      <c r="G22" s="78"/>
      <c r="H22" s="17"/>
      <c r="I22" s="202"/>
      <c r="J22" s="61"/>
      <c r="K22" s="30"/>
      <c r="L22" s="76">
        <f>IF(OR(B22="",B22=0),"",(E22+F22+H22)/3)</f>
      </c>
      <c r="M22" s="21">
        <f>IF(OR(B22=0,B22=""),"",IF('Toma datos'!$F$43="carga real",(L22-D22)/C22*100,(D22-L22)/L22*100))</f>
      </c>
      <c r="N22" s="20">
        <f>IF(OR(B22=0,B22=""),"",IF('Toma datos'!$F$43="carga real",(MAX(E22,F22,H22,I22)-MIN(E22,F22,H22,I22))/D22*100,(MAX(E22,F22,H22,I22)-MIN(E22,F22,H22,I22))/L22*100))</f>
      </c>
      <c r="O22" s="167">
        <f>IF(OR(B22=0,B22="",$F$4=1),"",IF('Toma datos'!F52="Carga real",(G22-F22)/D22*100,(G22-F22)/L22*100))</f>
      </c>
      <c r="P22" s="19">
        <f>IF('Toma datos'!$G$43=2,IF(AND(B22&lt;='Toma datos'!$D$27,B22&gt;'Toma datos'!$C$27),'Toma datos'!$F$27/B22*100,IF(AND(B22&lt;='Toma datos'!$D$28,B22&gt;'Toma datos'!$C$28),'Toma datos'!$F$28/B22*100,IF(AND(B22&lt;='Toma datos'!$D$29,B22&gt;'Toma datos'!$C$29),'Toma datos'!$F$29/B22*100,IF(AND(B22&lt;='Toma datos'!$D$30,B22&gt;'Toma datos'!$C$30),'Toma datos'!$F$30/B22*100,"")))),"")</f>
      </c>
      <c r="Q22" s="19">
        <f>IF('Toma datos'!$G$43=1,IF(AND(C22&lt;='Toma datos'!$D$27,C22&gt;'Toma datos'!$C$27),'Toma datos'!$F$27/C22*100,IF(AND(C22&lt;='Toma datos'!$D$28,C22&gt;'Toma datos'!$C$28),'Toma datos'!$F$28/C22*100,IF(AND(C22&lt;='Toma datos'!$D$29,C22&gt;'Toma datos'!$C$29),'Toma datos'!$F$29/C22*100,IF(AND(C22&lt;='Toma datos'!$D$30,C22&gt;'Toma datos'!$C$30),'Toma datos'!$F$30/C22*100,"")))),"")</f>
      </c>
      <c r="R22" s="100">
        <f>IF(OR(I22=0,I22="",'Toma datos'!$D$22=2),"",IF('Toma datos'!$G$43=1,ABS(('Toma datos 1'!I22-'Toma datos 1'!B22)/'Toma datos 1'!B22)*100,ABS((B22-I22)/I22)*100))</f>
      </c>
      <c r="S22" s="33"/>
      <c r="T22" s="33"/>
      <c r="U22" s="160"/>
      <c r="V22" s="160"/>
      <c r="W22" s="154"/>
      <c r="X22" s="154"/>
      <c r="Y22" s="154"/>
      <c r="Z22" s="154"/>
      <c r="AA22" s="154"/>
      <c r="AB22" s="154"/>
      <c r="AC22" s="154"/>
    </row>
    <row r="23" spans="1:29" s="4" customFormat="1" ht="12.75">
      <c r="A23" s="30"/>
      <c r="B23" s="75"/>
      <c r="C23" s="127"/>
      <c r="D23" s="127"/>
      <c r="E23" s="61"/>
      <c r="F23" s="61"/>
      <c r="G23" s="76"/>
      <c r="H23" s="76"/>
      <c r="I23" s="61"/>
      <c r="J23" s="61"/>
      <c r="K23" s="61"/>
      <c r="L23" s="76"/>
      <c r="M23" s="190"/>
      <c r="N23" s="191"/>
      <c r="O23" s="76"/>
      <c r="P23" s="127"/>
      <c r="Q23" s="127"/>
      <c r="R23" s="33"/>
      <c r="S23" s="33"/>
      <c r="T23" s="33"/>
      <c r="U23" s="160"/>
      <c r="V23" s="160"/>
      <c r="W23" s="154"/>
      <c r="X23" s="154"/>
      <c r="Y23" s="154"/>
      <c r="Z23" s="154"/>
      <c r="AA23" s="154"/>
      <c r="AB23" s="154"/>
      <c r="AC23" s="154"/>
    </row>
    <row r="24" spans="1:29" ht="12.75">
      <c r="A24" s="30"/>
      <c r="B24" s="75"/>
      <c r="C24" s="61"/>
      <c r="D24" s="61"/>
      <c r="E24" s="61"/>
      <c r="F24" s="61"/>
      <c r="G24" s="61"/>
      <c r="H24" s="61"/>
      <c r="I24" s="61"/>
      <c r="J24" s="61"/>
      <c r="K24" s="61"/>
      <c r="L24" s="61"/>
      <c r="M24" s="77">
        <f>IF(OR(B24=0,B24=""),"",(L24-B24)/B24*100)</f>
      </c>
      <c r="N24" s="77">
        <f>IF(OR(B24=0,B24=""),"",(MAX(E24,G24,I24)-MIN(#REF!,#REF!,#REF!))/L24*100)</f>
      </c>
      <c r="O24" s="33">
        <f>IF(OR(B24=0,B24="",F24=""),"",((F24-E24)/L24*100))</f>
      </c>
      <c r="P24" s="61"/>
      <c r="Q24" s="61"/>
      <c r="R24" s="33"/>
      <c r="S24" s="33"/>
      <c r="T24" s="33"/>
      <c r="U24" s="160"/>
      <c r="V24" s="160"/>
      <c r="W24" s="154"/>
      <c r="X24" s="154"/>
      <c r="Y24" s="154"/>
      <c r="Z24" s="154"/>
      <c r="AA24" s="154"/>
      <c r="AB24" s="154"/>
      <c r="AC24" s="154"/>
    </row>
    <row r="25" spans="1:29" ht="13.5" thickBot="1">
      <c r="A25" s="30"/>
      <c r="B25" s="61"/>
      <c r="C25" s="61"/>
      <c r="D25" s="30"/>
      <c r="E25" s="30"/>
      <c r="F25" s="30"/>
      <c r="G25" s="30"/>
      <c r="H25" s="30"/>
      <c r="I25" s="30"/>
      <c r="J25" s="61"/>
      <c r="K25" s="61"/>
      <c r="L25" s="61"/>
      <c r="M25" s="77"/>
      <c r="N25" s="77"/>
      <c r="O25" s="33"/>
      <c r="P25" s="61"/>
      <c r="Q25" s="61"/>
      <c r="R25" s="33"/>
      <c r="S25" s="33"/>
      <c r="T25" s="33"/>
      <c r="U25" s="160"/>
      <c r="V25" s="160"/>
      <c r="W25" s="154"/>
      <c r="X25" s="154"/>
      <c r="Y25" s="154"/>
      <c r="Z25" s="154"/>
      <c r="AA25" s="154"/>
      <c r="AB25" s="154"/>
      <c r="AC25" s="154"/>
    </row>
    <row r="26" spans="1:29" ht="25.5" customHeight="1" thickBot="1">
      <c r="A26" s="30"/>
      <c r="B26" s="338" t="s">
        <v>123</v>
      </c>
      <c r="C26" s="339"/>
      <c r="D26" s="28" t="s">
        <v>0</v>
      </c>
      <c r="E26" s="28" t="s">
        <v>1</v>
      </c>
      <c r="F26" s="28" t="s">
        <v>2</v>
      </c>
      <c r="G26" s="30"/>
      <c r="H26" s="30"/>
      <c r="I26" s="30"/>
      <c r="J26" s="68"/>
      <c r="K26" s="153"/>
      <c r="L26" s="30"/>
      <c r="M26" s="30"/>
      <c r="N26" s="30"/>
      <c r="O26" s="33"/>
      <c r="P26" s="61"/>
      <c r="Q26" s="61"/>
      <c r="R26" s="33"/>
      <c r="S26" s="33"/>
      <c r="T26" s="33"/>
      <c r="U26" s="160"/>
      <c r="V26" s="160"/>
      <c r="W26" s="154"/>
      <c r="X26" s="154"/>
      <c r="Y26" s="154"/>
      <c r="Z26" s="154"/>
      <c r="AA26" s="154"/>
      <c r="AB26" s="154"/>
      <c r="AC26" s="154"/>
    </row>
    <row r="27" spans="1:29" ht="13.5" thickBot="1">
      <c r="A27" s="30"/>
      <c r="B27" s="30"/>
      <c r="C27" s="33"/>
      <c r="D27" s="247">
        <f>(Auxiliar!F27-$E$12)/Auxiliar!F26*100</f>
        <v>-0.01333277116080729</v>
      </c>
      <c r="E27" s="247">
        <f>(Auxiliar!G27-$F$12)/Auxiliar!G26*100</f>
        <v>0.05</v>
      </c>
      <c r="F27" s="193">
        <f>(Auxiliar!H27-$H$12)/Auxiliar!H26*100</f>
        <v>0.004685908204801552</v>
      </c>
      <c r="G27" s="30"/>
      <c r="H27" s="30"/>
      <c r="I27" s="30"/>
      <c r="J27" s="33"/>
      <c r="K27" s="33"/>
      <c r="L27" s="30"/>
      <c r="M27" s="30"/>
      <c r="N27" s="30"/>
      <c r="O27" s="33"/>
      <c r="P27" s="61"/>
      <c r="Q27" s="61"/>
      <c r="R27" s="33"/>
      <c r="S27" s="33"/>
      <c r="T27" s="33"/>
      <c r="U27" s="160"/>
      <c r="V27" s="160"/>
      <c r="W27" s="154"/>
      <c r="X27" s="154"/>
      <c r="Y27" s="154"/>
      <c r="Z27" s="154"/>
      <c r="AA27" s="154"/>
      <c r="AB27" s="154"/>
      <c r="AC27" s="154"/>
    </row>
    <row r="28" spans="1:29" ht="12.75">
      <c r="A28" s="30"/>
      <c r="B28" s="30"/>
      <c r="C28" s="30"/>
      <c r="D28" s="30"/>
      <c r="E28" s="30"/>
      <c r="F28" s="30"/>
      <c r="G28" s="33"/>
      <c r="H28" s="33"/>
      <c r="I28" s="33"/>
      <c r="J28" s="33"/>
      <c r="K28" s="33"/>
      <c r="L28" s="33"/>
      <c r="M28" s="30"/>
      <c r="N28" s="30"/>
      <c r="O28" s="33"/>
      <c r="P28" s="61"/>
      <c r="Q28" s="61"/>
      <c r="R28" s="33"/>
      <c r="S28" s="33"/>
      <c r="T28" s="33"/>
      <c r="U28" s="160"/>
      <c r="V28" s="160"/>
      <c r="W28" s="154"/>
      <c r="X28" s="154"/>
      <c r="Y28" s="154"/>
      <c r="Z28" s="154"/>
      <c r="AA28" s="154"/>
      <c r="AB28" s="154"/>
      <c r="AC28" s="154"/>
    </row>
    <row r="29" spans="1:29" ht="13.5" thickBot="1">
      <c r="A29" s="30"/>
      <c r="B29" s="33"/>
      <c r="C29" s="30"/>
      <c r="D29" s="30"/>
      <c r="E29" s="30"/>
      <c r="F29" s="30"/>
      <c r="G29" s="30"/>
      <c r="H29" s="30"/>
      <c r="I29" s="33"/>
      <c r="J29" s="30"/>
      <c r="K29" s="30"/>
      <c r="L29" s="30"/>
      <c r="M29" s="30"/>
      <c r="N29" s="30"/>
      <c r="O29" s="33"/>
      <c r="P29" s="61"/>
      <c r="Q29" s="61"/>
      <c r="R29" s="33"/>
      <c r="S29" s="33"/>
      <c r="T29" s="33"/>
      <c r="U29" s="160"/>
      <c r="V29" s="160"/>
      <c r="W29" s="154"/>
      <c r="X29" s="154"/>
      <c r="Y29" s="154"/>
      <c r="Z29" s="154"/>
      <c r="AA29" s="154"/>
      <c r="AB29" s="154"/>
      <c r="AC29" s="154"/>
    </row>
    <row r="30" spans="1:29" ht="77.25" customHeight="1" thickBot="1">
      <c r="A30" s="30"/>
      <c r="B30" s="33"/>
      <c r="C30" s="239" t="s">
        <v>35</v>
      </c>
      <c r="D30" s="239" t="s">
        <v>140</v>
      </c>
      <c r="E30" s="239" t="s">
        <v>141</v>
      </c>
      <c r="F30" s="239" t="s">
        <v>142</v>
      </c>
      <c r="G30" s="239" t="s">
        <v>36</v>
      </c>
      <c r="H30" s="239" t="s">
        <v>143</v>
      </c>
      <c r="I30" s="236"/>
      <c r="J30" s="33"/>
      <c r="K30" s="33"/>
      <c r="L30" s="33"/>
      <c r="M30" s="33"/>
      <c r="N30" s="30"/>
      <c r="O30" s="33"/>
      <c r="P30" s="61"/>
      <c r="Q30" s="61"/>
      <c r="R30" s="33"/>
      <c r="S30" s="33"/>
      <c r="T30" s="33"/>
      <c r="U30" s="160"/>
      <c r="V30" s="160"/>
      <c r="W30" s="154"/>
      <c r="X30" s="154"/>
      <c r="Y30" s="154"/>
      <c r="Z30" s="154"/>
      <c r="AA30" s="154"/>
      <c r="AB30" s="154"/>
      <c r="AC30" s="154"/>
    </row>
    <row r="31" spans="1:29" ht="17.25" customHeight="1">
      <c r="A31" s="30"/>
      <c r="B31" s="33"/>
      <c r="C31" s="233">
        <v>0.5</v>
      </c>
      <c r="D31" s="22" t="s">
        <v>37</v>
      </c>
      <c r="E31" s="23">
        <v>0.5</v>
      </c>
      <c r="F31" s="22" t="s">
        <v>38</v>
      </c>
      <c r="G31" s="22" t="s">
        <v>39</v>
      </c>
      <c r="H31" s="240">
        <v>0.25</v>
      </c>
      <c r="I31" s="129"/>
      <c r="J31" s="235"/>
      <c r="K31" s="336"/>
      <c r="L31" s="336"/>
      <c r="M31" s="336"/>
      <c r="N31" s="30"/>
      <c r="O31" s="33"/>
      <c r="P31" s="61"/>
      <c r="Q31" s="61"/>
      <c r="R31" s="33"/>
      <c r="S31" s="33"/>
      <c r="T31" s="33"/>
      <c r="U31" s="160"/>
      <c r="V31" s="160"/>
      <c r="W31" s="154"/>
      <c r="X31" s="154"/>
      <c r="Y31" s="154"/>
      <c r="Z31" s="154"/>
      <c r="AA31" s="154"/>
      <c r="AB31" s="154"/>
      <c r="AC31" s="154"/>
    </row>
    <row r="32" spans="1:29" ht="15.75">
      <c r="A32" s="30"/>
      <c r="B32" s="33"/>
      <c r="C32" s="234">
        <v>1</v>
      </c>
      <c r="D32" s="22" t="s">
        <v>40</v>
      </c>
      <c r="E32" s="23">
        <v>1</v>
      </c>
      <c r="F32" s="22" t="s">
        <v>41</v>
      </c>
      <c r="G32" s="22" t="s">
        <v>42</v>
      </c>
      <c r="H32" s="241">
        <v>0.5</v>
      </c>
      <c r="I32" s="129"/>
      <c r="J32" s="235"/>
      <c r="K32" s="336"/>
      <c r="L32" s="336"/>
      <c r="M32" s="336"/>
      <c r="N32" s="30"/>
      <c r="O32" s="33"/>
      <c r="P32" s="61"/>
      <c r="Q32" s="61"/>
      <c r="R32" s="33"/>
      <c r="S32" s="33"/>
      <c r="T32" s="33"/>
      <c r="U32" s="160"/>
      <c r="V32" s="160"/>
      <c r="W32" s="154"/>
      <c r="X32" s="154"/>
      <c r="Y32" s="154"/>
      <c r="Z32" s="154"/>
      <c r="AA32" s="154"/>
      <c r="AB32" s="154"/>
      <c r="AC32" s="154"/>
    </row>
    <row r="33" spans="1:29" ht="15.75">
      <c r="A33" s="30"/>
      <c r="B33" s="33"/>
      <c r="C33" s="234">
        <v>2</v>
      </c>
      <c r="D33" s="22" t="s">
        <v>43</v>
      </c>
      <c r="E33" s="23">
        <v>2</v>
      </c>
      <c r="F33" s="22" t="s">
        <v>44</v>
      </c>
      <c r="G33" s="22" t="s">
        <v>45</v>
      </c>
      <c r="H33" s="241">
        <v>1</v>
      </c>
      <c r="I33" s="129"/>
      <c r="J33" s="237"/>
      <c r="K33" s="237"/>
      <c r="L33" s="323"/>
      <c r="M33" s="323"/>
      <c r="N33" s="30"/>
      <c r="O33" s="33"/>
      <c r="P33" s="61"/>
      <c r="Q33" s="61"/>
      <c r="R33" s="33"/>
      <c r="S33" s="33"/>
      <c r="T33" s="33"/>
      <c r="U33" s="160"/>
      <c r="V33" s="160"/>
      <c r="W33" s="154"/>
      <c r="X33" s="154"/>
      <c r="Y33" s="154"/>
      <c r="Z33" s="154"/>
      <c r="AA33" s="154"/>
      <c r="AB33" s="154"/>
      <c r="AC33" s="154"/>
    </row>
    <row r="34" spans="1:29" ht="15.75">
      <c r="A34" s="30"/>
      <c r="B34" s="33"/>
      <c r="C34" s="248">
        <v>3</v>
      </c>
      <c r="D34" s="249" t="s">
        <v>46</v>
      </c>
      <c r="E34" s="250">
        <v>3</v>
      </c>
      <c r="F34" s="249" t="s">
        <v>47</v>
      </c>
      <c r="G34" s="249" t="s">
        <v>48</v>
      </c>
      <c r="H34" s="251">
        <v>1.5</v>
      </c>
      <c r="I34" s="129"/>
      <c r="J34" s="237"/>
      <c r="K34" s="237"/>
      <c r="L34" s="323"/>
      <c r="M34" s="323"/>
      <c r="N34" s="30"/>
      <c r="O34" s="33"/>
      <c r="P34" s="61"/>
      <c r="Q34" s="61"/>
      <c r="R34" s="33"/>
      <c r="S34" s="33"/>
      <c r="T34" s="33"/>
      <c r="U34" s="160"/>
      <c r="V34" s="160"/>
      <c r="W34" s="154"/>
      <c r="X34" s="154"/>
      <c r="Y34" s="154"/>
      <c r="Z34" s="154"/>
      <c r="AA34" s="154"/>
      <c r="AB34" s="154"/>
      <c r="AC34" s="154"/>
    </row>
    <row r="35" spans="1:29" ht="26.25" customHeight="1">
      <c r="A35" s="30"/>
      <c r="B35" s="33"/>
      <c r="C35" s="340" t="s">
        <v>49</v>
      </c>
      <c r="D35" s="341"/>
      <c r="E35" s="341"/>
      <c r="F35" s="341"/>
      <c r="G35" s="341"/>
      <c r="H35" s="342"/>
      <c r="I35" s="238"/>
      <c r="J35" s="237"/>
      <c r="K35" s="237"/>
      <c r="L35" s="323"/>
      <c r="M35" s="323"/>
      <c r="N35" s="30"/>
      <c r="O35" s="33"/>
      <c r="P35" s="61"/>
      <c r="Q35" s="61"/>
      <c r="R35" s="33"/>
      <c r="S35" s="33"/>
      <c r="T35" s="33"/>
      <c r="U35" s="160"/>
      <c r="V35" s="160"/>
      <c r="W35" s="154"/>
      <c r="X35" s="154"/>
      <c r="Y35" s="154"/>
      <c r="Z35" s="154"/>
      <c r="AA35" s="154"/>
      <c r="AB35" s="154"/>
      <c r="AC35" s="154"/>
    </row>
    <row r="36" spans="1:143" s="3" customFormat="1" ht="15.75">
      <c r="A36" s="30"/>
      <c r="B36" s="238"/>
      <c r="C36" s="238"/>
      <c r="D36" s="238"/>
      <c r="E36" s="238"/>
      <c r="F36" s="238"/>
      <c r="G36" s="238"/>
      <c r="H36" s="238"/>
      <c r="I36" s="238"/>
      <c r="J36" s="237"/>
      <c r="K36" s="237"/>
      <c r="L36" s="323"/>
      <c r="M36" s="323"/>
      <c r="N36" s="30"/>
      <c r="O36" s="30"/>
      <c r="P36" s="30"/>
      <c r="Q36" s="30"/>
      <c r="R36" s="30"/>
      <c r="S36" s="30"/>
      <c r="T36" s="33"/>
      <c r="U36" s="160"/>
      <c r="V36" s="160"/>
      <c r="W36" s="154"/>
      <c r="X36" s="154"/>
      <c r="Y36" s="154"/>
      <c r="Z36" s="154"/>
      <c r="AA36" s="154"/>
      <c r="AB36" s="154"/>
      <c r="AC36" s="15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row>
    <row r="37" spans="1:143" s="3" customFormat="1" ht="12.75" customHeight="1">
      <c r="A37" s="30"/>
      <c r="B37" s="30"/>
      <c r="C37" s="30"/>
      <c r="D37" s="30"/>
      <c r="E37" s="30"/>
      <c r="F37" s="337"/>
      <c r="G37" s="337"/>
      <c r="H37" s="337"/>
      <c r="I37" s="337"/>
      <c r="J37" s="337"/>
      <c r="K37" s="337"/>
      <c r="L37" s="337"/>
      <c r="M37" s="337"/>
      <c r="N37" s="30"/>
      <c r="O37" s="30"/>
      <c r="P37" s="30"/>
      <c r="Q37" s="30"/>
      <c r="R37" s="30"/>
      <c r="S37" s="30"/>
      <c r="T37" s="33"/>
      <c r="U37" s="160"/>
      <c r="V37" s="160"/>
      <c r="W37" s="154"/>
      <c r="X37" s="154"/>
      <c r="Y37" s="154"/>
      <c r="Z37" s="154"/>
      <c r="AA37" s="154"/>
      <c r="AB37" s="154"/>
      <c r="AC37" s="15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row>
    <row r="38" spans="1:143" s="3" customFormat="1" ht="12.75">
      <c r="A38" s="30"/>
      <c r="B38" s="30"/>
      <c r="C38" s="30"/>
      <c r="D38" s="30"/>
      <c r="E38" s="30"/>
      <c r="F38" s="337"/>
      <c r="G38" s="337"/>
      <c r="H38" s="337"/>
      <c r="I38" s="337"/>
      <c r="J38" s="337"/>
      <c r="K38" s="337"/>
      <c r="L38" s="337"/>
      <c r="M38" s="337"/>
      <c r="N38" s="76"/>
      <c r="O38" s="33"/>
      <c r="P38" s="61"/>
      <c r="Q38" s="61"/>
      <c r="R38" s="33"/>
      <c r="S38" s="33"/>
      <c r="T38" s="33"/>
      <c r="U38" s="160"/>
      <c r="V38" s="160"/>
      <c r="W38" s="154"/>
      <c r="X38" s="154"/>
      <c r="Y38" s="154"/>
      <c r="Z38" s="154"/>
      <c r="AA38" s="154"/>
      <c r="AB38" s="154"/>
      <c r="AC38" s="15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row>
    <row r="39" spans="1:143" s="3" customFormat="1" ht="12.75">
      <c r="A39" s="30"/>
      <c r="B39" s="75"/>
      <c r="C39" s="33"/>
      <c r="D39" s="33"/>
      <c r="E39" s="33"/>
      <c r="F39" s="33"/>
      <c r="G39" s="33"/>
      <c r="H39" s="33"/>
      <c r="I39" s="33"/>
      <c r="J39" s="33"/>
      <c r="K39" s="33"/>
      <c r="L39" s="76"/>
      <c r="M39" s="76"/>
      <c r="N39" s="76"/>
      <c r="O39" s="33"/>
      <c r="P39" s="61"/>
      <c r="Q39" s="61"/>
      <c r="R39" s="33"/>
      <c r="S39" s="33"/>
      <c r="T39" s="33"/>
      <c r="U39" s="160"/>
      <c r="V39" s="160"/>
      <c r="W39" s="154"/>
      <c r="X39" s="154"/>
      <c r="Y39" s="154"/>
      <c r="Z39" s="154"/>
      <c r="AA39" s="154"/>
      <c r="AB39" s="154"/>
      <c r="AC39" s="15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row>
    <row r="40" spans="1:143" s="3" customFormat="1" ht="13.5" thickBot="1">
      <c r="A40" s="30"/>
      <c r="B40" s="75"/>
      <c r="C40" s="33"/>
      <c r="D40" s="33" t="s">
        <v>130</v>
      </c>
      <c r="E40" s="33"/>
      <c r="F40" s="33"/>
      <c r="G40" s="33"/>
      <c r="H40" s="33"/>
      <c r="I40" s="33"/>
      <c r="J40" s="33"/>
      <c r="K40" s="33"/>
      <c r="L40" s="76"/>
      <c r="M40" s="76"/>
      <c r="N40" s="76"/>
      <c r="O40" s="33"/>
      <c r="P40" s="61"/>
      <c r="Q40" s="61"/>
      <c r="R40" s="33"/>
      <c r="S40" s="33"/>
      <c r="T40" s="33"/>
      <c r="U40" s="160"/>
      <c r="V40" s="160"/>
      <c r="W40" s="154"/>
      <c r="X40" s="154"/>
      <c r="Y40" s="154"/>
      <c r="Z40" s="154"/>
      <c r="AA40" s="154"/>
      <c r="AB40" s="154"/>
      <c r="AC40" s="15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row>
    <row r="41" spans="1:143" s="3" customFormat="1" ht="13.5" thickBot="1">
      <c r="A41" s="154"/>
      <c r="B41" s="159"/>
      <c r="C41" s="160"/>
      <c r="D41" s="320">
        <v>1</v>
      </c>
      <c r="E41" s="321"/>
      <c r="F41" s="320">
        <v>2</v>
      </c>
      <c r="G41" s="322"/>
      <c r="H41" s="322"/>
      <c r="I41" s="321"/>
      <c r="J41" s="320">
        <v>3</v>
      </c>
      <c r="K41" s="321"/>
      <c r="N41" s="157"/>
      <c r="O41" s="160"/>
      <c r="P41" s="158"/>
      <c r="Q41" s="158"/>
      <c r="R41" s="160"/>
      <c r="S41" s="160"/>
      <c r="T41" s="160"/>
      <c r="U41" s="160"/>
      <c r="V41" s="160"/>
      <c r="W41" s="154"/>
      <c r="X41" s="154"/>
      <c r="Y41" s="154"/>
      <c r="Z41" s="154"/>
      <c r="AA41" s="154"/>
      <c r="AB41" s="154"/>
      <c r="AC41" s="15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row>
    <row r="42" spans="1:143" s="3" customFormat="1" ht="36.75" thickBot="1">
      <c r="A42" s="154"/>
      <c r="B42" s="159"/>
      <c r="C42" s="160"/>
      <c r="D42" s="175" t="s">
        <v>131</v>
      </c>
      <c r="E42" s="175" t="s">
        <v>129</v>
      </c>
      <c r="F42" s="176" t="s">
        <v>127</v>
      </c>
      <c r="G42" s="175" t="s">
        <v>129</v>
      </c>
      <c r="H42" s="176" t="s">
        <v>127</v>
      </c>
      <c r="I42" s="175" t="s">
        <v>128</v>
      </c>
      <c r="J42" s="175" t="s">
        <v>127</v>
      </c>
      <c r="K42" s="175" t="s">
        <v>128</v>
      </c>
      <c r="N42" s="157"/>
      <c r="O42" s="160"/>
      <c r="P42" s="158"/>
      <c r="Q42" s="158"/>
      <c r="R42" s="160"/>
      <c r="S42" s="160"/>
      <c r="T42" s="160"/>
      <c r="U42" s="160"/>
      <c r="V42" s="160"/>
      <c r="W42" s="154"/>
      <c r="X42" s="154"/>
      <c r="Y42" s="154"/>
      <c r="Z42" s="154"/>
      <c r="AA42" s="154"/>
      <c r="AB42" s="154"/>
      <c r="AC42" s="15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row>
    <row r="43" spans="1:29" ht="12.75">
      <c r="A43" s="154"/>
      <c r="B43" s="159"/>
      <c r="C43" s="160"/>
      <c r="D43" s="177">
        <v>0.002</v>
      </c>
      <c r="E43" s="178">
        <v>0</v>
      </c>
      <c r="F43" s="177">
        <v>0.002</v>
      </c>
      <c r="G43" s="179">
        <v>0</v>
      </c>
      <c r="H43" s="180"/>
      <c r="I43" s="181"/>
      <c r="J43" s="177">
        <v>0.002</v>
      </c>
      <c r="K43" s="178">
        <v>0</v>
      </c>
      <c r="N43" s="157"/>
      <c r="O43" s="160"/>
      <c r="P43" s="158"/>
      <c r="Q43" s="158"/>
      <c r="R43" s="160"/>
      <c r="S43" s="160"/>
      <c r="T43" s="160"/>
      <c r="U43" s="160"/>
      <c r="V43" s="160"/>
      <c r="W43" s="154"/>
      <c r="X43" s="154"/>
      <c r="Y43" s="154"/>
      <c r="Z43" s="154"/>
      <c r="AA43" s="154"/>
      <c r="AB43" s="154"/>
      <c r="AC43" s="154"/>
    </row>
    <row r="44" spans="1:29" ht="12.75">
      <c r="A44" s="154"/>
      <c r="B44" s="159"/>
      <c r="C44" s="160"/>
      <c r="D44" s="177">
        <v>0.4988</v>
      </c>
      <c r="E44" s="178">
        <f aca="true" t="shared" si="0" ref="E44:E49">D44-$D$43</f>
        <v>0.4968</v>
      </c>
      <c r="F44" s="177">
        <v>0.5039</v>
      </c>
      <c r="G44" s="183">
        <f>F44-$F$43</f>
        <v>0.5019</v>
      </c>
      <c r="H44" s="184"/>
      <c r="I44" s="185">
        <f aca="true" t="shared" si="1" ref="I44:I49">H44-$F$43</f>
        <v>-0.002</v>
      </c>
      <c r="J44" s="177">
        <v>0.5062</v>
      </c>
      <c r="K44" s="178">
        <f aca="true" t="shared" si="2" ref="K44:K49">J44-$J$43</f>
        <v>0.5042</v>
      </c>
      <c r="N44" s="157"/>
      <c r="O44" s="160"/>
      <c r="P44" s="158"/>
      <c r="Q44" s="158"/>
      <c r="R44" s="160"/>
      <c r="S44" s="160"/>
      <c r="T44" s="160"/>
      <c r="U44" s="160"/>
      <c r="V44" s="160"/>
      <c r="W44" s="154"/>
      <c r="X44" s="154"/>
      <c r="Y44" s="154"/>
      <c r="Z44" s="154"/>
      <c r="AA44" s="154"/>
      <c r="AB44" s="154"/>
      <c r="AC44" s="154"/>
    </row>
    <row r="45" spans="1:29" ht="12.75">
      <c r="A45" s="154"/>
      <c r="B45" s="159"/>
      <c r="C45" s="160"/>
      <c r="D45" s="177">
        <v>0.9789</v>
      </c>
      <c r="E45" s="178">
        <f t="shared" si="0"/>
        <v>0.9769</v>
      </c>
      <c r="F45" s="177">
        <v>0.9816</v>
      </c>
      <c r="G45" s="183">
        <f>F45-$F$43</f>
        <v>0.9796</v>
      </c>
      <c r="H45" s="184"/>
      <c r="I45" s="185">
        <f t="shared" si="1"/>
        <v>-0.002</v>
      </c>
      <c r="J45" s="177">
        <v>0.9824</v>
      </c>
      <c r="K45" s="178">
        <f t="shared" si="2"/>
        <v>0.9804</v>
      </c>
      <c r="N45" s="157"/>
      <c r="O45" s="160"/>
      <c r="P45" s="158"/>
      <c r="Q45" s="158"/>
      <c r="R45" s="160"/>
      <c r="S45" s="160"/>
      <c r="T45" s="160"/>
      <c r="U45" s="160"/>
      <c r="V45" s="160"/>
      <c r="W45" s="154"/>
      <c r="X45" s="154"/>
      <c r="Y45" s="154"/>
      <c r="Z45" s="154"/>
      <c r="AA45" s="154"/>
      <c r="AB45" s="154"/>
      <c r="AC45" s="154"/>
    </row>
    <row r="46" spans="1:29" ht="12.75">
      <c r="A46" s="154"/>
      <c r="B46" s="159"/>
      <c r="C46" s="160"/>
      <c r="D46" s="177">
        <v>1.0655</v>
      </c>
      <c r="E46" s="178">
        <f t="shared" si="0"/>
        <v>1.0635</v>
      </c>
      <c r="F46" s="177">
        <v>1.07</v>
      </c>
      <c r="G46" s="183">
        <f>F46-$F$43</f>
        <v>1.068</v>
      </c>
      <c r="H46" s="184"/>
      <c r="I46" s="185">
        <f t="shared" si="1"/>
        <v>-0.002</v>
      </c>
      <c r="J46" s="177">
        <v>1.0687</v>
      </c>
      <c r="K46" s="178">
        <f t="shared" si="2"/>
        <v>1.0667</v>
      </c>
      <c r="N46" s="157"/>
      <c r="O46" s="160"/>
      <c r="P46" s="158"/>
      <c r="Q46" s="158"/>
      <c r="R46" s="160"/>
      <c r="S46" s="160"/>
      <c r="T46" s="160"/>
      <c r="U46" s="160"/>
      <c r="V46" s="160"/>
      <c r="W46" s="154"/>
      <c r="X46" s="154"/>
      <c r="Y46" s="154"/>
      <c r="Z46" s="154"/>
      <c r="AA46" s="154"/>
      <c r="AB46" s="154"/>
      <c r="AC46" s="154"/>
    </row>
    <row r="47" spans="1:29" ht="12.75">
      <c r="A47" s="154"/>
      <c r="B47" s="158"/>
      <c r="C47" s="160"/>
      <c r="D47" s="177"/>
      <c r="E47" s="178">
        <f t="shared" si="0"/>
        <v>-0.002</v>
      </c>
      <c r="F47" s="182"/>
      <c r="G47" s="183">
        <f>F47-$F$43</f>
        <v>-0.002</v>
      </c>
      <c r="H47" s="184"/>
      <c r="I47" s="185">
        <f t="shared" si="1"/>
        <v>-0.002</v>
      </c>
      <c r="J47" s="177"/>
      <c r="K47" s="178">
        <f t="shared" si="2"/>
        <v>-0.002</v>
      </c>
      <c r="N47" s="160"/>
      <c r="O47" s="160"/>
      <c r="P47" s="158"/>
      <c r="Q47" s="158"/>
      <c r="R47" s="160"/>
      <c r="S47" s="160"/>
      <c r="T47" s="160"/>
      <c r="U47" s="160"/>
      <c r="V47" s="160"/>
      <c r="W47" s="154"/>
      <c r="X47" s="154"/>
      <c r="Y47" s="154"/>
      <c r="Z47" s="154"/>
      <c r="AA47" s="154"/>
      <c r="AB47" s="154"/>
      <c r="AC47" s="154"/>
    </row>
    <row r="48" spans="1:29" ht="12.75">
      <c r="A48" s="154"/>
      <c r="B48" s="160"/>
      <c r="C48" s="160"/>
      <c r="D48" s="177"/>
      <c r="E48" s="178">
        <f t="shared" si="0"/>
        <v>-0.002</v>
      </c>
      <c r="F48" s="182"/>
      <c r="G48" s="183">
        <f>F48-$F$43</f>
        <v>-0.002</v>
      </c>
      <c r="H48" s="184"/>
      <c r="I48" s="185">
        <f t="shared" si="1"/>
        <v>-0.002</v>
      </c>
      <c r="J48" s="177"/>
      <c r="K48" s="178">
        <f t="shared" si="2"/>
        <v>-0.002</v>
      </c>
      <c r="N48" s="160"/>
      <c r="O48" s="160"/>
      <c r="P48" s="158"/>
      <c r="Q48" s="158"/>
      <c r="R48" s="160"/>
      <c r="S48" s="160"/>
      <c r="T48" s="160"/>
      <c r="U48" s="160"/>
      <c r="V48" s="160"/>
      <c r="W48" s="154"/>
      <c r="X48" s="154"/>
      <c r="Y48" s="154"/>
      <c r="Z48" s="154"/>
      <c r="AA48" s="154"/>
      <c r="AB48" s="154"/>
      <c r="AC48" s="154"/>
    </row>
    <row r="49" spans="1:29" ht="13.5" thickBot="1">
      <c r="A49" s="154"/>
      <c r="B49" s="163"/>
      <c r="C49" s="160"/>
      <c r="D49" s="186"/>
      <c r="E49" s="178">
        <f t="shared" si="0"/>
        <v>-0.002</v>
      </c>
      <c r="F49" s="187"/>
      <c r="G49" s="188"/>
      <c r="H49" s="189"/>
      <c r="I49" s="185">
        <f t="shared" si="1"/>
        <v>-0.002</v>
      </c>
      <c r="J49" s="186"/>
      <c r="K49" s="178">
        <f t="shared" si="2"/>
        <v>-0.002</v>
      </c>
      <c r="N49" s="160"/>
      <c r="O49" s="160"/>
      <c r="P49" s="158"/>
      <c r="Q49" s="158"/>
      <c r="R49" s="160"/>
      <c r="S49" s="160"/>
      <c r="T49" s="160"/>
      <c r="U49" s="160"/>
      <c r="V49" s="160"/>
      <c r="W49" s="154"/>
      <c r="X49" s="154"/>
      <c r="Y49" s="154"/>
      <c r="Z49" s="154"/>
      <c r="AA49" s="154"/>
      <c r="AB49" s="154"/>
      <c r="AC49" s="154"/>
    </row>
    <row r="50" spans="1:29" ht="12.75">
      <c r="A50" s="154"/>
      <c r="B50" s="163"/>
      <c r="C50" s="160"/>
      <c r="D50" s="160"/>
      <c r="E50" s="160"/>
      <c r="F50" s="160"/>
      <c r="G50" s="160"/>
      <c r="H50" s="160"/>
      <c r="I50" s="160"/>
      <c r="J50" s="160"/>
      <c r="K50" s="160"/>
      <c r="L50" s="160"/>
      <c r="M50" s="160"/>
      <c r="N50" s="160"/>
      <c r="O50" s="160"/>
      <c r="P50" s="158"/>
      <c r="Q50" s="158"/>
      <c r="R50" s="160"/>
      <c r="S50" s="160"/>
      <c r="T50" s="160"/>
      <c r="U50" s="160"/>
      <c r="V50" s="160"/>
      <c r="W50" s="154"/>
      <c r="X50" s="154"/>
      <c r="Y50" s="154"/>
      <c r="Z50" s="154"/>
      <c r="AA50" s="154"/>
      <c r="AB50" s="154"/>
      <c r="AC50" s="154"/>
    </row>
    <row r="51" spans="1:29" ht="12.75">
      <c r="A51" s="154"/>
      <c r="B51" s="158"/>
      <c r="C51" s="154"/>
      <c r="D51" s="154"/>
      <c r="E51" s="154"/>
      <c r="F51" s="154"/>
      <c r="G51" s="154"/>
      <c r="H51" s="154"/>
      <c r="I51" s="154"/>
      <c r="J51" s="154"/>
      <c r="K51" s="154"/>
      <c r="L51" s="154"/>
      <c r="M51" s="154"/>
      <c r="N51" s="154"/>
      <c r="O51" s="160"/>
      <c r="P51" s="158"/>
      <c r="Q51" s="158"/>
      <c r="R51" s="160"/>
      <c r="S51" s="160"/>
      <c r="T51" s="160"/>
      <c r="U51" s="160"/>
      <c r="V51" s="160"/>
      <c r="W51" s="154"/>
      <c r="X51" s="154"/>
      <c r="Y51" s="154"/>
      <c r="Z51" s="154"/>
      <c r="AA51" s="154"/>
      <c r="AB51" s="154"/>
      <c r="AC51" s="154"/>
    </row>
    <row r="52" spans="1:29" ht="12.75">
      <c r="A52" s="154"/>
      <c r="B52" s="154"/>
      <c r="C52" s="154"/>
      <c r="D52" s="154"/>
      <c r="E52" s="154"/>
      <c r="F52" s="154"/>
      <c r="G52" s="154"/>
      <c r="H52" s="154"/>
      <c r="I52" s="154"/>
      <c r="J52" s="154"/>
      <c r="K52" s="154"/>
      <c r="L52" s="154"/>
      <c r="M52" s="154"/>
      <c r="N52" s="154"/>
      <c r="O52" s="160"/>
      <c r="P52" s="158"/>
      <c r="Q52" s="158"/>
      <c r="R52" s="160"/>
      <c r="S52" s="160"/>
      <c r="T52" s="160"/>
      <c r="U52" s="160"/>
      <c r="V52" s="160"/>
      <c r="W52" s="154"/>
      <c r="X52" s="154"/>
      <c r="Y52" s="154"/>
      <c r="Z52" s="154"/>
      <c r="AA52" s="154"/>
      <c r="AB52" s="154"/>
      <c r="AC52" s="154"/>
    </row>
    <row r="53" spans="1:29" ht="12.75">
      <c r="A53" s="154"/>
      <c r="B53" s="154"/>
      <c r="C53" s="154"/>
      <c r="D53" s="154"/>
      <c r="E53" s="154"/>
      <c r="F53" s="154"/>
      <c r="G53" s="154"/>
      <c r="H53" s="154"/>
      <c r="I53" s="154"/>
      <c r="J53" s="154"/>
      <c r="K53" s="154"/>
      <c r="L53" s="154"/>
      <c r="M53" s="154"/>
      <c r="N53" s="154"/>
      <c r="O53" s="160"/>
      <c r="P53" s="158"/>
      <c r="Q53" s="158"/>
      <c r="R53" s="160"/>
      <c r="S53" s="160"/>
      <c r="T53" s="160"/>
      <c r="U53" s="160"/>
      <c r="V53" s="160"/>
      <c r="W53" s="154"/>
      <c r="X53" s="154"/>
      <c r="Y53" s="154"/>
      <c r="Z53" s="154"/>
      <c r="AA53" s="154"/>
      <c r="AB53" s="154"/>
      <c r="AC53" s="154"/>
    </row>
    <row r="54" spans="1:29" ht="12.75">
      <c r="A54" s="154"/>
      <c r="B54" s="154"/>
      <c r="C54" s="154"/>
      <c r="D54" s="154"/>
      <c r="E54" s="154"/>
      <c r="F54" s="154"/>
      <c r="G54" s="154" t="s">
        <v>132</v>
      </c>
      <c r="H54" s="154"/>
      <c r="I54" s="154"/>
      <c r="J54" s="154"/>
      <c r="K54" s="154"/>
      <c r="L54" s="154"/>
      <c r="M54" s="154"/>
      <c r="N54" s="154"/>
      <c r="O54" s="160"/>
      <c r="P54" s="158"/>
      <c r="Q54" s="158"/>
      <c r="R54" s="160"/>
      <c r="S54" s="160"/>
      <c r="T54" s="160"/>
      <c r="U54" s="160"/>
      <c r="V54" s="160"/>
      <c r="W54" s="154"/>
      <c r="X54" s="154"/>
      <c r="Y54" s="154"/>
      <c r="Z54" s="154"/>
      <c r="AA54" s="154"/>
      <c r="AB54" s="154"/>
      <c r="AC54" s="154"/>
    </row>
    <row r="55" spans="1:29" ht="12.75">
      <c r="A55" s="154"/>
      <c r="B55" s="154"/>
      <c r="C55" s="154"/>
      <c r="D55" s="154"/>
      <c r="E55" s="154"/>
      <c r="F55" s="154"/>
      <c r="G55" s="154" t="s">
        <v>133</v>
      </c>
      <c r="H55" s="154"/>
      <c r="I55" s="154"/>
      <c r="J55" s="154"/>
      <c r="K55" s="154"/>
      <c r="L55" s="154"/>
      <c r="M55" s="154"/>
      <c r="N55" s="154"/>
      <c r="O55" s="160"/>
      <c r="P55" s="158"/>
      <c r="Q55" s="158"/>
      <c r="R55" s="160"/>
      <c r="S55" s="160"/>
      <c r="T55" s="160"/>
      <c r="U55" s="160"/>
      <c r="V55" s="160"/>
      <c r="W55" s="154"/>
      <c r="X55" s="154"/>
      <c r="Y55" s="154"/>
      <c r="Z55" s="154"/>
      <c r="AA55" s="154"/>
      <c r="AB55" s="154"/>
      <c r="AC55" s="154"/>
    </row>
  </sheetData>
  <mergeCells count="17">
    <mergeCell ref="K31:K32"/>
    <mergeCell ref="F37:M38"/>
    <mergeCell ref="B26:C26"/>
    <mergeCell ref="L33:M33"/>
    <mergeCell ref="L31:M32"/>
    <mergeCell ref="C35:H35"/>
    <mergeCell ref="E5:F5"/>
    <mergeCell ref="A8:C8"/>
    <mergeCell ref="A9:C10"/>
    <mergeCell ref="F10:G10"/>
    <mergeCell ref="E9:H9"/>
    <mergeCell ref="D41:E41"/>
    <mergeCell ref="F41:I41"/>
    <mergeCell ref="L34:M34"/>
    <mergeCell ref="L35:M35"/>
    <mergeCell ref="L36:M36"/>
    <mergeCell ref="J41:K41"/>
  </mergeCells>
  <printOptions/>
  <pageMargins left="0.75" right="0.75" top="1" bottom="1" header="0" footer="0"/>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X40"/>
  <sheetViews>
    <sheetView zoomScale="75" zoomScaleNormal="75" workbookViewId="0" topLeftCell="A1">
      <selection activeCell="L9" sqref="L9"/>
    </sheetView>
  </sheetViews>
  <sheetFormatPr defaultColWidth="11.421875" defaultRowHeight="12.75"/>
  <cols>
    <col min="2" max="2" width="9.8515625" style="0" customWidth="1"/>
    <col min="4" max="4" width="14.00390625" style="0" bestFit="1" customWidth="1"/>
    <col min="8" max="8" width="12.28125" style="0" bestFit="1" customWidth="1"/>
    <col min="9" max="9" width="14.140625" style="0" customWidth="1"/>
    <col min="11" max="11" width="14.00390625" style="0" customWidth="1"/>
    <col min="12" max="12" width="9.00390625" style="0" customWidth="1"/>
  </cols>
  <sheetData>
    <row r="1" spans="1:24" ht="12.75">
      <c r="A1" s="30"/>
      <c r="B1" s="30"/>
      <c r="C1" s="30"/>
      <c r="D1" s="245" t="s">
        <v>58</v>
      </c>
      <c r="E1" s="246">
        <f>'Toma datos'!I50-'Toma datos'!F50</f>
        <v>-6</v>
      </c>
      <c r="F1" s="246" t="s">
        <v>59</v>
      </c>
      <c r="G1" s="30"/>
      <c r="H1" s="30"/>
      <c r="I1" s="30"/>
      <c r="J1" s="30"/>
      <c r="K1" s="30"/>
      <c r="L1" s="30"/>
      <c r="M1" s="30"/>
      <c r="N1" s="30"/>
      <c r="O1" s="154"/>
      <c r="P1" s="154"/>
      <c r="Q1" s="154"/>
      <c r="R1" s="154"/>
      <c r="S1" s="154"/>
      <c r="T1" s="154"/>
      <c r="U1" s="154"/>
      <c r="V1" s="154"/>
      <c r="W1" s="154"/>
      <c r="X1" s="154"/>
    </row>
    <row r="2" spans="1:24" ht="15.75">
      <c r="A2" s="30"/>
      <c r="B2" s="30"/>
      <c r="C2" s="30"/>
      <c r="D2" s="63" t="str">
        <f>"TKc ("&amp;TEXT(E1,"#,0")&amp;"º C)="</f>
        <v>TKc (-6,0º C)=</v>
      </c>
      <c r="E2" s="246">
        <f>0.0012*E1</f>
        <v>-0.0072</v>
      </c>
      <c r="F2" s="246" t="s">
        <v>60</v>
      </c>
      <c r="G2" s="30"/>
      <c r="H2" s="30"/>
      <c r="I2" s="30"/>
      <c r="J2" s="30"/>
      <c r="K2" s="30"/>
      <c r="L2" s="30"/>
      <c r="M2" s="30"/>
      <c r="N2" s="30"/>
      <c r="O2" s="154"/>
      <c r="P2" s="154"/>
      <c r="Q2" s="154"/>
      <c r="R2" s="154"/>
      <c r="S2" s="154"/>
      <c r="T2" s="154"/>
      <c r="U2" s="154"/>
      <c r="V2" s="154"/>
      <c r="W2" s="154"/>
      <c r="X2" s="154"/>
    </row>
    <row r="3" spans="1:24" ht="13.5" thickBot="1">
      <c r="A3" s="30"/>
      <c r="B3" s="30"/>
      <c r="C3" s="30"/>
      <c r="D3" s="30"/>
      <c r="E3" s="30"/>
      <c r="F3" s="30"/>
      <c r="G3" s="30"/>
      <c r="H3" s="30"/>
      <c r="I3" s="30"/>
      <c r="J3" s="30"/>
      <c r="K3" s="30"/>
      <c r="L3" s="30"/>
      <c r="M3" s="30"/>
      <c r="N3" s="30"/>
      <c r="O3" s="154"/>
      <c r="P3" s="154"/>
      <c r="Q3" s="154"/>
      <c r="R3" s="154"/>
      <c r="S3" s="154"/>
      <c r="T3" s="154"/>
      <c r="U3" s="154"/>
      <c r="V3" s="154"/>
      <c r="W3" s="154"/>
      <c r="X3" s="154"/>
    </row>
    <row r="4" spans="1:24" ht="63.75" thickBot="1">
      <c r="A4" s="30"/>
      <c r="B4" s="125" t="str">
        <f>'Toma datos 1'!L11</f>
        <v>Valor medio de carga real ( N  )</v>
      </c>
      <c r="C4" s="24" t="s">
        <v>139</v>
      </c>
      <c r="D4" s="25" t="s">
        <v>51</v>
      </c>
      <c r="E4" s="25" t="s">
        <v>52</v>
      </c>
      <c r="F4" s="26" t="s">
        <v>53</v>
      </c>
      <c r="G4" s="26" t="s">
        <v>61</v>
      </c>
      <c r="H4" s="26" t="s">
        <v>62</v>
      </c>
      <c r="I4" s="126" t="s">
        <v>54</v>
      </c>
      <c r="J4" s="25" t="s">
        <v>55</v>
      </c>
      <c r="K4" s="126" t="s">
        <v>56</v>
      </c>
      <c r="L4" s="106" t="str">
        <f>"U                     ("&amp;TEXT('Toma datos'!G27,"#,0")&amp;")"</f>
        <v>U                     (N)</v>
      </c>
      <c r="M4" s="30"/>
      <c r="N4" s="30"/>
      <c r="O4" s="154"/>
      <c r="P4" s="154"/>
      <c r="Q4" s="154"/>
      <c r="R4" s="154"/>
      <c r="S4" s="154"/>
      <c r="T4" s="154"/>
      <c r="U4" s="154"/>
      <c r="V4" s="154"/>
      <c r="W4" s="154"/>
      <c r="X4" s="154"/>
    </row>
    <row r="5" spans="1:24" ht="12.75">
      <c r="A5" s="30"/>
      <c r="B5" s="103">
        <f>'Toma datos 1'!L13</f>
        <v>2010.1263863417232</v>
      </c>
      <c r="C5" s="17">
        <v>0.0045</v>
      </c>
      <c r="D5" s="97">
        <f>'Toma datos 1'!N13/SQRT(12)</f>
        <v>0.3375294381312907</v>
      </c>
      <c r="E5" s="97">
        <f>IF('Toma datos'!$G$43=2,'Toma datos 1'!P13/SQRT(12),'Toma datos 1'!Q13/SQRT(12))</f>
        <v>0.0014433756729740645</v>
      </c>
      <c r="F5" s="97">
        <f aca="true" t="shared" si="0" ref="F5:F13">$E$2/SQRT(2)</f>
        <v>-0.005091168824543141</v>
      </c>
      <c r="G5" s="96">
        <f>'Toma datos 1'!O13/SQRT(12)</f>
        <v>-0.07755779353379287</v>
      </c>
      <c r="H5" s="97">
        <f>MAX('Toma datos 1'!$D$27:$F$27)/SQRT(12)</f>
        <v>0.014433756729740645</v>
      </c>
      <c r="I5" s="97">
        <f>SQRT(SUMSQ(C5:H5))</f>
        <v>0.34669571616869155</v>
      </c>
      <c r="J5" s="97">
        <v>2</v>
      </c>
      <c r="K5" s="103">
        <f>I5*2</f>
        <v>0.6933914323373831</v>
      </c>
      <c r="L5" s="105">
        <f>K5*B5/100</f>
        <v>13.938044142046554</v>
      </c>
      <c r="M5" s="30"/>
      <c r="N5" s="30"/>
      <c r="O5" s="154"/>
      <c r="P5" s="154"/>
      <c r="Q5" s="154"/>
      <c r="R5" s="154"/>
      <c r="S5" s="154"/>
      <c r="T5" s="154"/>
      <c r="U5" s="154"/>
      <c r="V5" s="154"/>
      <c r="W5" s="154"/>
      <c r="X5" s="154"/>
    </row>
    <row r="6" spans="1:24" ht="12.75">
      <c r="A6" s="30"/>
      <c r="B6" s="103">
        <f>'Toma datos 1'!L14</f>
        <v>4008.643067634576</v>
      </c>
      <c r="C6" s="17">
        <v>0.0025</v>
      </c>
      <c r="D6" s="97">
        <f>'Toma datos 1'!N14/SQRT(12)</f>
        <v>0.03603401821524624</v>
      </c>
      <c r="E6" s="97">
        <f>IF('Toma datos'!$G$43=2,'Toma datos 1'!P14/SQRT(12),'Toma datos 1'!Q14/SQRT(12))</f>
        <v>0.0007216878364870322</v>
      </c>
      <c r="F6" s="97">
        <f t="shared" si="0"/>
        <v>-0.005091168824543141</v>
      </c>
      <c r="G6" s="96">
        <f>'Toma datos 1'!O14/SQRT(12)</f>
        <v>-0.06521185519971945</v>
      </c>
      <c r="H6" s="97">
        <f>MAX('Toma datos 1'!$D$27:$F$27)/SQRT(12)</f>
        <v>0.014433756729740645</v>
      </c>
      <c r="I6" s="97">
        <f>SQRT(SUMSQ(C6:H6))</f>
        <v>0.07610558911139537</v>
      </c>
      <c r="J6" s="97">
        <v>2</v>
      </c>
      <c r="K6" s="103">
        <f>I6*2</f>
        <v>0.15221117822279073</v>
      </c>
      <c r="L6" s="104">
        <f>K6*B6/100</f>
        <v>6.10160284399281</v>
      </c>
      <c r="M6" s="30"/>
      <c r="N6" s="30"/>
      <c r="O6" s="154"/>
      <c r="P6" s="154"/>
      <c r="Q6" s="154"/>
      <c r="R6" s="154"/>
      <c r="S6" s="154"/>
      <c r="T6" s="154"/>
      <c r="U6" s="154"/>
      <c r="V6" s="154"/>
      <c r="W6" s="154"/>
      <c r="X6" s="154"/>
    </row>
    <row r="7" spans="1:24" ht="12.75">
      <c r="A7" s="30"/>
      <c r="B7" s="103">
        <f>'Toma datos 1'!L15</f>
        <v>6013.747542508259</v>
      </c>
      <c r="C7" s="17">
        <v>0.0025</v>
      </c>
      <c r="D7" s="97">
        <f>'Toma datos 1'!N15/SQRT(12)</f>
        <v>0.02833969328652945</v>
      </c>
      <c r="E7" s="97">
        <f>IF('Toma datos'!$G$43=2,'Toma datos 1'!P15/SQRT(12),'Toma datos 1'!Q15/SQRT(12))</f>
        <v>0.0004811252243246882</v>
      </c>
      <c r="F7" s="97">
        <f t="shared" si="0"/>
        <v>-0.005091168824543141</v>
      </c>
      <c r="G7" s="96">
        <f>'Toma datos 1'!O15/SQRT(12)</f>
        <v>-0.07421935219168511</v>
      </c>
      <c r="H7" s="97">
        <f>MAX('Toma datos 1'!$D$27:$F$27)/SQRT(12)</f>
        <v>0.014433756729740645</v>
      </c>
      <c r="I7" s="97">
        <f>SQRT(SUMSQ(C7:H7))</f>
        <v>0.08094680518799227</v>
      </c>
      <c r="J7" s="97">
        <v>2</v>
      </c>
      <c r="K7" s="103">
        <f>I7*2</f>
        <v>0.16189361037598454</v>
      </c>
      <c r="L7" s="104">
        <f>K7*B7/100</f>
        <v>9.735873015463667</v>
      </c>
      <c r="M7" s="30"/>
      <c r="N7" s="30"/>
      <c r="O7" s="154"/>
      <c r="P7" s="154"/>
      <c r="Q7" s="154"/>
      <c r="R7" s="154"/>
      <c r="S7" s="154"/>
      <c r="T7" s="154"/>
      <c r="U7" s="154"/>
      <c r="V7" s="154"/>
      <c r="W7" s="154"/>
      <c r="X7" s="154"/>
    </row>
    <row r="8" spans="1:24" ht="12.75">
      <c r="A8" s="30"/>
      <c r="B8" s="103">
        <f>'Toma datos 1'!L16</f>
        <v>8019.982813767677</v>
      </c>
      <c r="C8" s="17">
        <v>0.0025</v>
      </c>
      <c r="D8" s="97">
        <f>'Toma datos 1'!N16/SQRT(12)</f>
        <v>0.026290050042830738</v>
      </c>
      <c r="E8" s="97">
        <f>IF('Toma datos'!$G$43=2,'Toma datos 1'!P16/SQRT(12),'Toma datos 1'!Q16/SQRT(12))</f>
        <v>0.0003608439182435161</v>
      </c>
      <c r="F8" s="97">
        <f t="shared" si="0"/>
        <v>-0.005091168824543141</v>
      </c>
      <c r="G8" s="96">
        <f>'Toma datos 1'!O16/SQRT(12)</f>
        <v>-0.08221757465251418</v>
      </c>
      <c r="H8" s="97">
        <f>MAX('Toma datos 1'!$D$27:$F$27)/SQRT(12)</f>
        <v>0.014433756729740645</v>
      </c>
      <c r="I8" s="97">
        <f>SQRT(SUMSQ(C8:H8))</f>
        <v>0.0877013674617617</v>
      </c>
      <c r="J8" s="97">
        <v>2</v>
      </c>
      <c r="K8" s="103">
        <f>I8*2</f>
        <v>0.1754027349235234</v>
      </c>
      <c r="L8" s="104">
        <f>K8*B8/100</f>
        <v>14.067269195745052</v>
      </c>
      <c r="M8" s="30"/>
      <c r="N8" s="30"/>
      <c r="O8" s="154"/>
      <c r="P8" s="154"/>
      <c r="Q8" s="154"/>
      <c r="R8" s="154"/>
      <c r="S8" s="154"/>
      <c r="T8" s="154"/>
      <c r="U8" s="154"/>
      <c r="V8" s="154"/>
      <c r="W8" s="154"/>
      <c r="X8" s="154"/>
    </row>
    <row r="9" spans="1:24" ht="12.75">
      <c r="A9" s="30"/>
      <c r="B9" s="103">
        <f>'Toma datos 1'!L17</f>
        <v>9976.574119714474</v>
      </c>
      <c r="C9" s="17">
        <v>0.0025</v>
      </c>
      <c r="D9" s="97">
        <f>IF(B9="","",'Toma datos 1'!N17/SQRT(12))</f>
        <v>0.06569331258233241</v>
      </c>
      <c r="E9" s="97">
        <f>IF('Toma datos'!$G$43=2,'Toma datos 1'!P17/SQRT(12),'Toma datos 1'!Q17/SQRT(12))</f>
        <v>0.0002886751345948129</v>
      </c>
      <c r="F9" s="97">
        <f t="shared" si="0"/>
        <v>-0.005091168824543141</v>
      </c>
      <c r="G9" s="96">
        <f>'Toma datos 1'!O17/SQRT(12)</f>
        <v>-0.054977064185420185</v>
      </c>
      <c r="H9" s="97">
        <f>MAX('Toma datos 1'!$D$27:$F$27)/SQRT(12)</f>
        <v>0.014433756729740645</v>
      </c>
      <c r="I9" s="97">
        <f>IF(B9="","",SQRT(SUMSQ(C9:H9)))</f>
        <v>0.08705558897138374</v>
      </c>
      <c r="J9" s="97">
        <v>2</v>
      </c>
      <c r="K9" s="103">
        <f>I9*2</f>
        <v>0.17411117794276748</v>
      </c>
      <c r="L9" s="104">
        <f>K9*B9/100</f>
        <v>17.370330718168155</v>
      </c>
      <c r="M9" s="30"/>
      <c r="N9" s="30"/>
      <c r="O9" s="154"/>
      <c r="P9" s="154"/>
      <c r="Q9" s="154"/>
      <c r="R9" s="154"/>
      <c r="S9" s="154"/>
      <c r="T9" s="154"/>
      <c r="U9" s="154"/>
      <c r="V9" s="154"/>
      <c r="W9" s="154"/>
      <c r="X9" s="154"/>
    </row>
    <row r="10" spans="1:24" ht="12.75">
      <c r="A10" s="30"/>
      <c r="B10" s="103">
        <f>'Toma datos 1'!L18</f>
      </c>
      <c r="C10" s="17"/>
      <c r="D10" s="97">
        <f>IF(B10="","",'Toma datos 1'!N18/SQRT(12))</f>
      </c>
      <c r="E10" s="97">
        <f>IF(B10="","",IF('Toma datos'!$G$43=2,'Toma datos 1'!P18/SQRT(12),'Toma datos 1'!Q18/SQRT(12)))</f>
      </c>
      <c r="F10" s="97">
        <f t="shared" si="0"/>
        <v>-0.005091168824543141</v>
      </c>
      <c r="G10" s="96" t="e">
        <f>'Toma datos 1'!O18/SQRT(12)</f>
        <v>#VALUE!</v>
      </c>
      <c r="H10" s="97">
        <f>MAX('Toma datos 1'!$D$27:$F$27)/SQRT(12)</f>
        <v>0.014433756729740645</v>
      </c>
      <c r="I10" s="97">
        <f>IF(B10="","",SQRT(SUMSQ(C10:H10)))</f>
      </c>
      <c r="J10" s="97">
        <v>2</v>
      </c>
      <c r="K10" s="103">
        <f>IF(I10="","",10*2)</f>
      </c>
      <c r="L10" s="104">
        <f>IF(I10="","",K10*B10/100)</f>
      </c>
      <c r="M10" s="30"/>
      <c r="N10" s="30"/>
      <c r="O10" s="154"/>
      <c r="P10" s="154"/>
      <c r="Q10" s="154"/>
      <c r="R10" s="154"/>
      <c r="S10" s="154"/>
      <c r="T10" s="154"/>
      <c r="U10" s="154"/>
      <c r="V10" s="154"/>
      <c r="W10" s="154"/>
      <c r="X10" s="154"/>
    </row>
    <row r="11" spans="1:24" ht="12.75">
      <c r="A11" s="30"/>
      <c r="B11" s="103">
        <f>'Toma datos 1'!L19</f>
      </c>
      <c r="C11" s="17"/>
      <c r="D11" s="97">
        <f>IF(B11="","",'Toma datos 1'!N19/SQRT(12))</f>
      </c>
      <c r="E11" s="97">
        <f>IF(B11="","",IF('Toma datos'!$G$43=2,'Toma datos 1'!P19/SQRT(12),'Toma datos 1'!Q19/SQRT(12)))</f>
      </c>
      <c r="F11" s="97">
        <f t="shared" si="0"/>
        <v>-0.005091168824543141</v>
      </c>
      <c r="G11" s="96" t="e">
        <f>'Toma datos 1'!O19/SQRT(12)</f>
        <v>#VALUE!</v>
      </c>
      <c r="H11" s="97">
        <f>MAX('Toma datos 1'!$D$27:$F$27)/SQRT(12)</f>
        <v>0.014433756729740645</v>
      </c>
      <c r="I11" s="97">
        <f>IF(B11="","",SQRT(SUMSQ(C11:H11)))</f>
      </c>
      <c r="J11" s="97">
        <v>2</v>
      </c>
      <c r="K11" s="103">
        <f>IF(I11="","",10*2)</f>
      </c>
      <c r="L11" s="104">
        <f>IF(I11="","",K11*B11/100)</f>
      </c>
      <c r="M11" s="30"/>
      <c r="N11" s="30"/>
      <c r="O11" s="154"/>
      <c r="P11" s="154"/>
      <c r="Q11" s="154"/>
      <c r="R11" s="154"/>
      <c r="S11" s="154"/>
      <c r="T11" s="154"/>
      <c r="U11" s="154"/>
      <c r="V11" s="154"/>
      <c r="W11" s="154"/>
      <c r="X11" s="154"/>
    </row>
    <row r="12" spans="1:24" ht="12.75">
      <c r="A12" s="30"/>
      <c r="B12" s="103">
        <f>'Toma datos 1'!L20</f>
      </c>
      <c r="C12" s="17"/>
      <c r="D12" s="97">
        <f>IF(B12="","",'Toma datos 1'!N20/SQRT(12))</f>
      </c>
      <c r="E12" s="97">
        <f>IF(B12="","",IF('Toma datos'!$G$43=2,'Toma datos 1'!P20/SQRT(12),'Toma datos 1'!Q20/SQRT(12)))</f>
      </c>
      <c r="F12" s="97">
        <f t="shared" si="0"/>
        <v>-0.005091168824543141</v>
      </c>
      <c r="G12" s="96" t="e">
        <f>'Toma datos 1'!O20/SQRT(12)</f>
        <v>#VALUE!</v>
      </c>
      <c r="H12" s="97">
        <f>MAX('Toma datos 1'!$D$27:$F$27)/SQRT(12)</f>
        <v>0.014433756729740645</v>
      </c>
      <c r="I12" s="97">
        <f>IF(B12="","",SQRT(SUMSQ(C12:H12)))</f>
      </c>
      <c r="J12" s="97">
        <v>2</v>
      </c>
      <c r="K12" s="103">
        <f>IF(I12="","",10*2)</f>
      </c>
      <c r="L12" s="104">
        <f>IF(I12="","",K12*B12/100)</f>
      </c>
      <c r="M12" s="30"/>
      <c r="N12" s="30"/>
      <c r="O12" s="154"/>
      <c r="P12" s="154"/>
      <c r="Q12" s="154"/>
      <c r="R12" s="154"/>
      <c r="S12" s="154"/>
      <c r="T12" s="154"/>
      <c r="U12" s="154"/>
      <c r="V12" s="154"/>
      <c r="W12" s="154"/>
      <c r="X12" s="154"/>
    </row>
    <row r="13" spans="1:24" ht="12.75">
      <c r="A13" s="30"/>
      <c r="B13" s="103">
        <f>'Toma datos 1'!L21</f>
      </c>
      <c r="C13" s="17"/>
      <c r="D13" s="97">
        <f>IF(B13="","",'Toma datos 1'!N21/SQRT(12))</f>
      </c>
      <c r="E13" s="97">
        <f>IF(B13="","",IF('Toma datos'!$G$43=2,'Toma datos 1'!P21/SQRT(12),'Toma datos 1'!Q21/SQRT(12)))</f>
      </c>
      <c r="F13" s="97">
        <f t="shared" si="0"/>
        <v>-0.005091168824543141</v>
      </c>
      <c r="G13" s="96" t="e">
        <f>'Toma datos 1'!O21/SQRT(12)</f>
        <v>#VALUE!</v>
      </c>
      <c r="H13" s="97">
        <f>MAX('Toma datos 1'!$D$27:$F$27)/SQRT(12)</f>
        <v>0.014433756729740645</v>
      </c>
      <c r="I13" s="97">
        <f>IF(B13="","",SQRT(SUMSQ(C13:H13)))</f>
      </c>
      <c r="J13" s="97">
        <v>2</v>
      </c>
      <c r="K13" s="103">
        <f>IF(I13="","",10*2)</f>
      </c>
      <c r="L13" s="104">
        <f>IF(I13="","",K13*B13/100)</f>
      </c>
      <c r="M13" s="30"/>
      <c r="N13" s="30"/>
      <c r="O13" s="154"/>
      <c r="P13" s="154"/>
      <c r="Q13" s="154"/>
      <c r="R13" s="154"/>
      <c r="S13" s="154"/>
      <c r="T13" s="154"/>
      <c r="U13" s="154"/>
      <c r="V13" s="154"/>
      <c r="W13" s="154"/>
      <c r="X13" s="154"/>
    </row>
    <row r="14" spans="1:24" ht="12.75">
      <c r="A14" s="30"/>
      <c r="B14" s="75"/>
      <c r="C14" s="75"/>
      <c r="D14" s="75"/>
      <c r="E14" s="75"/>
      <c r="F14" s="75"/>
      <c r="G14" s="75"/>
      <c r="H14" s="75"/>
      <c r="I14" s="75"/>
      <c r="J14" s="75"/>
      <c r="K14" s="121"/>
      <c r="L14" s="121"/>
      <c r="M14" s="30"/>
      <c r="N14" s="30"/>
      <c r="O14" s="154"/>
      <c r="P14" s="154"/>
      <c r="Q14" s="154"/>
      <c r="R14" s="154"/>
      <c r="S14" s="154"/>
      <c r="T14" s="154"/>
      <c r="U14" s="154"/>
      <c r="V14" s="154"/>
      <c r="W14" s="154"/>
      <c r="X14" s="154"/>
    </row>
    <row r="15" spans="1:24" ht="12.75">
      <c r="A15" s="30"/>
      <c r="B15" s="30"/>
      <c r="C15" s="30"/>
      <c r="D15" s="30"/>
      <c r="E15" s="30"/>
      <c r="F15" s="30"/>
      <c r="G15" s="30"/>
      <c r="H15" s="30"/>
      <c r="I15" s="30"/>
      <c r="J15" s="30"/>
      <c r="K15" s="30"/>
      <c r="L15" s="30"/>
      <c r="M15" s="30"/>
      <c r="N15" s="30"/>
      <c r="O15" s="154"/>
      <c r="P15" s="154"/>
      <c r="Q15" s="154"/>
      <c r="R15" s="154"/>
      <c r="S15" s="154"/>
      <c r="T15" s="154"/>
      <c r="U15" s="154"/>
      <c r="V15" s="154"/>
      <c r="W15" s="154"/>
      <c r="X15" s="154"/>
    </row>
    <row r="16" spans="1:24" ht="12.75">
      <c r="A16" s="30"/>
      <c r="B16" s="30"/>
      <c r="C16" s="30"/>
      <c r="D16" s="30"/>
      <c r="E16" s="30"/>
      <c r="F16" s="30"/>
      <c r="G16" s="30"/>
      <c r="H16" s="30"/>
      <c r="I16" s="30"/>
      <c r="J16" s="30"/>
      <c r="K16" s="30"/>
      <c r="L16" s="30"/>
      <c r="M16" s="30"/>
      <c r="N16" s="30"/>
      <c r="O16" s="154"/>
      <c r="P16" s="154"/>
      <c r="Q16" s="154"/>
      <c r="R16" s="154"/>
      <c r="S16" s="154"/>
      <c r="T16" s="154"/>
      <c r="U16" s="154"/>
      <c r="V16" s="154"/>
      <c r="W16" s="154"/>
      <c r="X16" s="154"/>
    </row>
    <row r="17" spans="1:24" ht="12.75">
      <c r="A17" s="30"/>
      <c r="B17" s="30"/>
      <c r="C17" s="30"/>
      <c r="D17" s="30"/>
      <c r="E17" s="30"/>
      <c r="F17" s="30"/>
      <c r="G17" s="30"/>
      <c r="H17" s="30"/>
      <c r="I17" s="30"/>
      <c r="J17" s="30"/>
      <c r="K17" s="30"/>
      <c r="L17" s="30"/>
      <c r="M17" s="30"/>
      <c r="N17" s="30"/>
      <c r="O17" s="154"/>
      <c r="P17" s="154"/>
      <c r="Q17" s="154"/>
      <c r="R17" s="154"/>
      <c r="S17" s="154"/>
      <c r="T17" s="154"/>
      <c r="U17" s="154"/>
      <c r="V17" s="154"/>
      <c r="W17" s="154"/>
      <c r="X17" s="154"/>
    </row>
    <row r="18" spans="1:24" ht="12.75">
      <c r="A18" s="30"/>
      <c r="B18" s="30"/>
      <c r="C18" s="30"/>
      <c r="D18" s="30"/>
      <c r="E18" s="30"/>
      <c r="F18" s="30"/>
      <c r="G18" s="30"/>
      <c r="H18" s="30"/>
      <c r="I18" s="30"/>
      <c r="J18" s="30"/>
      <c r="K18" s="30"/>
      <c r="L18" s="30"/>
      <c r="M18" s="30"/>
      <c r="N18" s="30"/>
      <c r="O18" s="154"/>
      <c r="P18" s="154"/>
      <c r="Q18" s="154"/>
      <c r="R18" s="154"/>
      <c r="S18" s="154"/>
      <c r="T18" s="154"/>
      <c r="U18" s="154"/>
      <c r="V18" s="154"/>
      <c r="W18" s="154"/>
      <c r="X18" s="154"/>
    </row>
    <row r="19" spans="1:24" ht="12.75">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row>
    <row r="20" spans="1:24" ht="12.75">
      <c r="A20" s="154"/>
      <c r="B20" s="154"/>
      <c r="C20" s="154"/>
      <c r="D20" s="154"/>
      <c r="E20" s="154"/>
      <c r="F20" s="154"/>
      <c r="G20" s="154"/>
      <c r="H20" s="154"/>
      <c r="I20" s="154"/>
      <c r="J20" s="154"/>
      <c r="K20" s="154"/>
      <c r="L20" s="154"/>
      <c r="M20" s="154"/>
      <c r="N20" s="154"/>
      <c r="O20" s="154"/>
      <c r="P20" s="154"/>
      <c r="Q20" s="154"/>
      <c r="R20" s="154"/>
      <c r="S20" s="154"/>
      <c r="T20" s="154"/>
      <c r="U20" s="154"/>
      <c r="V20" s="154"/>
      <c r="W20" s="154"/>
      <c r="X20" s="154"/>
    </row>
    <row r="21" spans="1:24" ht="12.75">
      <c r="A21" s="154"/>
      <c r="B21" s="154"/>
      <c r="C21" s="154"/>
      <c r="D21" s="154"/>
      <c r="E21" s="154"/>
      <c r="F21" s="154"/>
      <c r="G21" s="154"/>
      <c r="H21" s="154"/>
      <c r="I21" s="154"/>
      <c r="J21" s="154"/>
      <c r="K21" s="154"/>
      <c r="L21" s="154"/>
      <c r="M21" s="154"/>
      <c r="N21" s="154"/>
      <c r="O21" s="154"/>
      <c r="P21" s="154"/>
      <c r="Q21" s="154"/>
      <c r="R21" s="154"/>
      <c r="S21" s="154"/>
      <c r="T21" s="154"/>
      <c r="U21" s="154"/>
      <c r="V21" s="154"/>
      <c r="W21" s="154"/>
      <c r="X21" s="154"/>
    </row>
    <row r="22" spans="1:24" ht="12.75">
      <c r="A22" s="154"/>
      <c r="B22" s="154"/>
      <c r="C22" s="154"/>
      <c r="D22" s="154"/>
      <c r="E22" s="154"/>
      <c r="F22" s="154"/>
      <c r="G22" s="154"/>
      <c r="H22" s="154"/>
      <c r="I22" s="154"/>
      <c r="J22" s="154"/>
      <c r="K22" s="154"/>
      <c r="L22" s="154"/>
      <c r="M22" s="154"/>
      <c r="N22" s="154"/>
      <c r="O22" s="154"/>
      <c r="P22" s="154"/>
      <c r="Q22" s="154"/>
      <c r="R22" s="154"/>
      <c r="S22" s="154"/>
      <c r="T22" s="154"/>
      <c r="U22" s="154"/>
      <c r="V22" s="154"/>
      <c r="W22" s="154"/>
      <c r="X22" s="154"/>
    </row>
    <row r="23" spans="1:24" ht="12.75">
      <c r="A23" s="154"/>
      <c r="B23" s="154"/>
      <c r="C23" s="154"/>
      <c r="D23" s="154"/>
      <c r="E23" s="154"/>
      <c r="F23" s="154"/>
      <c r="G23" s="154"/>
      <c r="H23" s="154"/>
      <c r="I23" s="154"/>
      <c r="J23" s="154"/>
      <c r="K23" s="154"/>
      <c r="L23" s="154"/>
      <c r="M23" s="154"/>
      <c r="N23" s="154"/>
      <c r="O23" s="154"/>
      <c r="P23" s="154"/>
      <c r="Q23" s="154"/>
      <c r="R23" s="154"/>
      <c r="S23" s="154"/>
      <c r="T23" s="154"/>
      <c r="U23" s="154"/>
      <c r="V23" s="154"/>
      <c r="W23" s="154"/>
      <c r="X23" s="154"/>
    </row>
    <row r="24" spans="1:24" ht="12.75">
      <c r="A24" s="154"/>
      <c r="B24" s="154"/>
      <c r="C24" s="154"/>
      <c r="D24" s="154"/>
      <c r="E24" s="154"/>
      <c r="F24" s="154"/>
      <c r="G24" s="154"/>
      <c r="H24" s="154"/>
      <c r="I24" s="154"/>
      <c r="J24" s="154"/>
      <c r="K24" s="154"/>
      <c r="L24" s="154"/>
      <c r="M24" s="154"/>
      <c r="N24" s="154"/>
      <c r="O24" s="154"/>
      <c r="P24" s="154"/>
      <c r="Q24" s="154"/>
      <c r="R24" s="154"/>
      <c r="S24" s="154"/>
      <c r="T24" s="154"/>
      <c r="U24" s="154"/>
      <c r="V24" s="154"/>
      <c r="W24" s="154"/>
      <c r="X24" s="154"/>
    </row>
    <row r="25" spans="1:24" ht="12.75">
      <c r="A25" s="154"/>
      <c r="B25" s="154"/>
      <c r="C25" s="154"/>
      <c r="D25" s="154"/>
      <c r="E25" s="154"/>
      <c r="F25" s="154"/>
      <c r="G25" s="154"/>
      <c r="H25" s="154"/>
      <c r="I25" s="154"/>
      <c r="J25" s="154"/>
      <c r="K25" s="154"/>
      <c r="L25" s="154"/>
      <c r="M25" s="154"/>
      <c r="N25" s="154"/>
      <c r="O25" s="154"/>
      <c r="P25" s="154"/>
      <c r="Q25" s="154"/>
      <c r="R25" s="154"/>
      <c r="S25" s="154"/>
      <c r="T25" s="154"/>
      <c r="U25" s="154"/>
      <c r="V25" s="154"/>
      <c r="W25" s="154"/>
      <c r="X25" s="154"/>
    </row>
    <row r="26" spans="1:24" ht="12.75">
      <c r="A26" s="154"/>
      <c r="B26" s="154"/>
      <c r="C26" s="154"/>
      <c r="D26" s="154"/>
      <c r="E26" s="154"/>
      <c r="F26" s="154"/>
      <c r="G26" s="154"/>
      <c r="H26" s="154"/>
      <c r="I26" s="154"/>
      <c r="J26" s="154"/>
      <c r="K26" s="154"/>
      <c r="L26" s="154"/>
      <c r="M26" s="154"/>
      <c r="N26" s="154"/>
      <c r="O26" s="154"/>
      <c r="P26" s="154"/>
      <c r="Q26" s="154"/>
      <c r="R26" s="154"/>
      <c r="S26" s="154"/>
      <c r="T26" s="154"/>
      <c r="U26" s="154"/>
      <c r="V26" s="154"/>
      <c r="W26" s="154"/>
      <c r="X26" s="154"/>
    </row>
    <row r="27" spans="1:24" ht="12.75">
      <c r="A27" s="154"/>
      <c r="B27" s="154"/>
      <c r="C27" s="154"/>
      <c r="D27" s="154"/>
      <c r="E27" s="154"/>
      <c r="F27" s="154"/>
      <c r="G27" s="154"/>
      <c r="H27" s="154"/>
      <c r="I27" s="154"/>
      <c r="J27" s="154"/>
      <c r="K27" s="154"/>
      <c r="L27" s="154"/>
      <c r="M27" s="154"/>
      <c r="N27" s="154"/>
      <c r="O27" s="154"/>
      <c r="P27" s="154"/>
      <c r="Q27" s="154"/>
      <c r="R27" s="154"/>
      <c r="S27" s="154"/>
      <c r="T27" s="154"/>
      <c r="U27" s="154"/>
      <c r="V27" s="154"/>
      <c r="W27" s="154"/>
      <c r="X27" s="154"/>
    </row>
    <row r="28" spans="1:24" ht="12.75">
      <c r="A28" s="154"/>
      <c r="B28" s="154"/>
      <c r="C28" s="154"/>
      <c r="D28" s="154"/>
      <c r="E28" s="154"/>
      <c r="F28" s="154"/>
      <c r="G28" s="154"/>
      <c r="H28" s="154"/>
      <c r="I28" s="154"/>
      <c r="J28" s="154"/>
      <c r="K28" s="154"/>
      <c r="L28" s="154"/>
      <c r="M28" s="154"/>
      <c r="N28" s="154"/>
      <c r="O28" s="154"/>
      <c r="P28" s="154"/>
      <c r="Q28" s="154"/>
      <c r="R28" s="154"/>
      <c r="S28" s="154"/>
      <c r="T28" s="154"/>
      <c r="U28" s="154"/>
      <c r="V28" s="154"/>
      <c r="W28" s="154"/>
      <c r="X28" s="154"/>
    </row>
    <row r="29" spans="1:24" ht="12.75">
      <c r="A29" s="154"/>
      <c r="B29" s="154"/>
      <c r="C29" s="154"/>
      <c r="D29" s="154"/>
      <c r="E29" s="154"/>
      <c r="F29" s="154"/>
      <c r="G29" s="154"/>
      <c r="H29" s="154"/>
      <c r="I29" s="154"/>
      <c r="J29" s="154"/>
      <c r="K29" s="154"/>
      <c r="L29" s="154"/>
      <c r="M29" s="154"/>
      <c r="N29" s="154"/>
      <c r="O29" s="154"/>
      <c r="P29" s="154"/>
      <c r="Q29" s="154"/>
      <c r="R29" s="154"/>
      <c r="S29" s="154"/>
      <c r="T29" s="154"/>
      <c r="U29" s="154"/>
      <c r="V29" s="154"/>
      <c r="W29" s="154"/>
      <c r="X29" s="154"/>
    </row>
    <row r="30" spans="1:24" ht="12.75">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row>
    <row r="31" spans="1:24" ht="12.75">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ht="12.75">
      <c r="A32" s="154"/>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ht="12.7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row>
    <row r="34" spans="1:24" ht="12.75">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row>
    <row r="35" spans="1:24" ht="12.75">
      <c r="A35" s="154"/>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row r="36" spans="1:24" ht="12.75">
      <c r="A36" s="154"/>
      <c r="B36" s="154"/>
      <c r="C36" s="154"/>
      <c r="D36" s="154"/>
      <c r="E36" s="154"/>
      <c r="F36" s="154"/>
      <c r="G36" s="154"/>
      <c r="H36" s="154"/>
      <c r="I36" s="154"/>
      <c r="J36" s="154"/>
      <c r="K36" s="154"/>
      <c r="L36" s="154"/>
      <c r="M36" s="154"/>
      <c r="N36" s="154"/>
      <c r="O36" s="154"/>
      <c r="P36" s="154"/>
      <c r="Q36" s="154"/>
      <c r="R36" s="154"/>
      <c r="S36" s="154"/>
      <c r="T36" s="154"/>
      <c r="U36" s="154"/>
      <c r="V36" s="154"/>
      <c r="W36" s="154"/>
      <c r="X36" s="154"/>
    </row>
    <row r="37" spans="1:24" ht="12.75">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row>
    <row r="38" spans="1:24" ht="12.7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row>
    <row r="39" spans="1:24" ht="12.75">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row>
    <row r="40" spans="1:24" ht="12.75">
      <c r="A40" s="154"/>
      <c r="B40" s="154"/>
      <c r="C40" s="154"/>
      <c r="D40" s="154"/>
      <c r="E40" s="154"/>
      <c r="F40" s="154"/>
      <c r="G40" s="154"/>
      <c r="H40" s="154"/>
      <c r="I40" s="154"/>
      <c r="J40" s="154"/>
      <c r="K40" s="154"/>
      <c r="L40" s="154"/>
      <c r="M40" s="154"/>
      <c r="N40" s="154"/>
      <c r="O40" s="154"/>
      <c r="P40" s="154"/>
      <c r="Q40" s="154"/>
      <c r="R40" s="154"/>
      <c r="S40" s="154"/>
      <c r="T40" s="154"/>
      <c r="U40" s="154"/>
      <c r="V40" s="154"/>
      <c r="W40" s="154"/>
      <c r="X40" s="154"/>
    </row>
  </sheetData>
  <sheetProtection sheet="1" objects="1" scenarios="1"/>
  <printOptions/>
  <pageMargins left="0.75" right="0.75" top="1" bottom="1"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T44"/>
  <sheetViews>
    <sheetView workbookViewId="0" topLeftCell="A1">
      <selection activeCell="B2" sqref="B2"/>
    </sheetView>
  </sheetViews>
  <sheetFormatPr defaultColWidth="11.421875" defaultRowHeight="12.75"/>
  <cols>
    <col min="1" max="1" width="8.7109375" style="0" customWidth="1"/>
    <col min="2" max="2" width="11.7109375" style="0" customWidth="1"/>
    <col min="3" max="3" width="13.7109375" style="0" customWidth="1"/>
    <col min="5" max="5" width="9.7109375" style="0" customWidth="1"/>
    <col min="6" max="6" width="9.00390625" style="0" customWidth="1"/>
    <col min="7" max="7" width="15.140625" style="0" customWidth="1"/>
    <col min="8" max="8" width="9.7109375" style="0" customWidth="1"/>
    <col min="9" max="9" width="6.00390625" style="0" customWidth="1"/>
    <col min="10" max="10" width="6.8515625" style="0" customWidth="1"/>
    <col min="11" max="11" width="13.57421875" style="0" customWidth="1"/>
    <col min="13" max="13" width="11.28125" style="0" customWidth="1"/>
    <col min="14" max="14" width="15.7109375" style="0" customWidth="1"/>
    <col min="15" max="15" width="6.7109375" style="0" customWidth="1"/>
  </cols>
  <sheetData>
    <row r="1" spans="1:20" ht="12.75">
      <c r="A1" s="30"/>
      <c r="B1" s="30" t="s">
        <v>165</v>
      </c>
      <c r="C1" s="30"/>
      <c r="D1" s="30"/>
      <c r="E1" s="30"/>
      <c r="F1" s="30"/>
      <c r="G1" s="30"/>
      <c r="H1" s="30"/>
      <c r="I1" s="30"/>
      <c r="J1" s="30"/>
      <c r="K1" s="30"/>
      <c r="L1" s="30"/>
      <c r="M1" s="30"/>
      <c r="N1" s="30"/>
      <c r="O1" s="30"/>
      <c r="P1" s="30"/>
      <c r="Q1" s="154"/>
      <c r="R1" s="154"/>
      <c r="S1" s="154"/>
      <c r="T1" s="154"/>
    </row>
    <row r="2" spans="1:20" ht="12.75">
      <c r="A2" s="30"/>
      <c r="B2" s="30"/>
      <c r="C2" s="30"/>
      <c r="D2" s="30"/>
      <c r="E2" s="30"/>
      <c r="F2" s="30"/>
      <c r="G2" s="30"/>
      <c r="H2" s="30"/>
      <c r="I2" s="30"/>
      <c r="J2" s="30"/>
      <c r="K2" s="30"/>
      <c r="L2" s="30"/>
      <c r="M2" s="30"/>
      <c r="N2" s="30"/>
      <c r="O2" s="30"/>
      <c r="P2" s="30"/>
      <c r="Q2" s="154"/>
      <c r="R2" s="154"/>
      <c r="S2" s="154"/>
      <c r="T2" s="154"/>
    </row>
    <row r="3" spans="1:20" ht="13.5" thickBot="1">
      <c r="A3" s="30"/>
      <c r="B3" s="30"/>
      <c r="C3" s="30"/>
      <c r="D3" s="30"/>
      <c r="E3" s="30"/>
      <c r="F3" s="30"/>
      <c r="G3" s="30"/>
      <c r="H3" s="30"/>
      <c r="I3" s="30"/>
      <c r="J3" s="30"/>
      <c r="K3" s="30"/>
      <c r="L3" s="30"/>
      <c r="M3" s="30"/>
      <c r="N3" s="30"/>
      <c r="O3" s="30"/>
      <c r="P3" s="30"/>
      <c r="Q3" s="154"/>
      <c r="R3" s="154"/>
      <c r="S3" s="154"/>
      <c r="T3" s="154"/>
    </row>
    <row r="4" spans="1:20" ht="13.5" thickBot="1">
      <c r="A4" s="30"/>
      <c r="B4" s="30"/>
      <c r="C4" s="30"/>
      <c r="D4" s="30"/>
      <c r="E4" s="30"/>
      <c r="F4" s="30"/>
      <c r="G4" s="30"/>
      <c r="H4" s="30"/>
      <c r="I4" s="30"/>
      <c r="J4" s="30"/>
      <c r="K4" s="343" t="str">
        <f>IF('Toma datos'!F43="Carga Indicada","Resultados con el método de Carga indicada","Resultados con el método de Carga real")</f>
        <v>Resultados con el método de Carga indicada</v>
      </c>
      <c r="L4" s="344"/>
      <c r="M4" s="344"/>
      <c r="N4" s="344"/>
      <c r="O4" s="345"/>
      <c r="P4" s="30"/>
      <c r="Q4" s="154"/>
      <c r="R4" s="154"/>
      <c r="S4" s="154"/>
      <c r="T4" s="154"/>
    </row>
    <row r="5" spans="1:20" ht="47.25" customHeight="1" thickBot="1">
      <c r="A5" s="30"/>
      <c r="B5" s="140" t="str">
        <f>"Puntos de calibración        ("&amp;TEXT('Toma datos'!G27,"#,0")&amp;")"</f>
        <v>Puntos de calibración        (N)</v>
      </c>
      <c r="C5" s="140" t="str">
        <f>IF('Toma datos'!F43="Carga Indicada","Carga indicada        ("&amp;TEXT('Toma datos'!G27,"#,0")&amp;")","Carga real      ("&amp;TEXT('Toma datos'!G27,"#,0")&amp;")")</f>
        <v>Carga indicada        (N)</v>
      </c>
      <c r="D5" s="140" t="str">
        <f>IF('Toma datos'!F43="Carga indicada","Carga real  ("&amp;TEXT('Toma datos'!G27,"#,0")&amp;")","Carga Indicada   ("&amp;TEXT('Toma datos'!G27,"#,0")&amp;")")</f>
        <v>Carga real  (N)</v>
      </c>
      <c r="E5" s="15" t="s">
        <v>125</v>
      </c>
      <c r="F5" s="112" t="s">
        <v>126</v>
      </c>
      <c r="G5" s="112" t="str">
        <f>IF('Toma datos 1'!F4=1,"","Error rel. de reversibilidad v (%):")</f>
        <v>Error rel. de reversibilidad v (%):</v>
      </c>
      <c r="H5" s="139" t="s">
        <v>148</v>
      </c>
      <c r="I5" s="30"/>
      <c r="J5" s="30"/>
      <c r="K5" s="140" t="str">
        <f>"Puntos de calibración        ("&amp;TEXT('Toma datos'!G27,"#,0")&amp;")"</f>
        <v>Puntos de calibración        (N)</v>
      </c>
      <c r="L5" s="140" t="str">
        <f>IF('Toma datos'!F43="Carga Indicada","Carga indicada        ("&amp;TEXT('Toma datos'!G27,"#,0")&amp;")","Carga real      ("&amp;TEXT('Toma datos'!G27,"#,0")&amp;")")</f>
        <v>Carga indicada        (N)</v>
      </c>
      <c r="M5" s="140" t="str">
        <f>IF('Toma datos'!F43="Carga indicada","Carga real  ("&amp;TEXT('Toma datos'!G27,"#,0")&amp;")","Carga Indicada   ("&amp;TEXT('Toma datos'!G27,"#,0")&amp;")")</f>
        <v>Carga real  (N)</v>
      </c>
      <c r="N5" s="140" t="s">
        <v>56</v>
      </c>
      <c r="O5" s="140" t="str">
        <f>"U           ("&amp;TEXT('Toma datos'!G27,"#,0")&amp;")"</f>
        <v>U           (N)</v>
      </c>
      <c r="P5" s="30"/>
      <c r="Q5" s="154"/>
      <c r="R5" s="154"/>
      <c r="S5" s="154"/>
      <c r="T5" s="154"/>
    </row>
    <row r="6" spans="1:20" ht="13.5" thickBot="1">
      <c r="A6" s="30"/>
      <c r="B6" s="116">
        <f>IF('Toma datos 1'!B13&lt;&gt;0,'Toma datos 1'!B13,"")</f>
        <v>2000</v>
      </c>
      <c r="C6" s="272">
        <f>IF('Toma datos 1'!C13&lt;&gt;0,'Toma datos 1'!D13,"")</f>
        <v>2002.3</v>
      </c>
      <c r="D6" s="116">
        <f>'Toma datos 1'!L13</f>
        <v>2010.1263863417232</v>
      </c>
      <c r="E6" s="116">
        <f>'Toma datos 1'!M13</f>
        <v>-0.38934797308773655</v>
      </c>
      <c r="F6" s="116">
        <f>'Toma datos 1'!N13</f>
        <v>1.169236271787143</v>
      </c>
      <c r="G6" s="116">
        <f>'Toma datos 1'!O13</f>
        <v>-0.26866807784693236</v>
      </c>
      <c r="H6" s="116">
        <f>IF('Toma datos 1'!P13="",'Toma datos 1'!Q13,'Toma datos 1'!P13)</f>
        <v>0.005</v>
      </c>
      <c r="I6" s="30"/>
      <c r="J6" s="30"/>
      <c r="K6" s="113">
        <f>IF('Toma datos 1'!B13&lt;&gt;0,'Toma datos 1'!B13,"")</f>
        <v>2000</v>
      </c>
      <c r="L6" s="102">
        <f>IF('Toma datos 1'!C13&lt;&gt;0,'Toma datos 1'!D13,"")</f>
        <v>2002.3</v>
      </c>
      <c r="M6" s="102">
        <f>'Toma datos 1'!L13</f>
        <v>2010.1263863417232</v>
      </c>
      <c r="N6" s="102">
        <f>incertidumbres!K5</f>
        <v>0.6933914323373831</v>
      </c>
      <c r="O6" s="114">
        <f>incertidumbres!L5</f>
        <v>13.938044142046554</v>
      </c>
      <c r="P6" s="30"/>
      <c r="Q6" s="154"/>
      <c r="R6" s="154"/>
      <c r="S6" s="154"/>
      <c r="T6" s="154"/>
    </row>
    <row r="7" spans="1:20" ht="13.5" thickBot="1">
      <c r="A7" s="30"/>
      <c r="B7" s="116">
        <f>IF('Toma datos 1'!B14&lt;&gt;0,'Toma datos 1'!B14,"")</f>
        <v>4000</v>
      </c>
      <c r="C7" s="272">
        <f>IF('Toma datos 1'!C14&lt;&gt;0,'Toma datos 1'!D14,"")</f>
        <v>4000</v>
      </c>
      <c r="D7" s="116">
        <f>'Toma datos 1'!L14</f>
        <v>4008.643067634576</v>
      </c>
      <c r="E7" s="116">
        <f>'Toma datos 1'!M14</f>
        <v>-0.2156108061692784</v>
      </c>
      <c r="F7" s="116">
        <f>'Toma datos 1'!N14</f>
        <v>0.12482550069933775</v>
      </c>
      <c r="G7" s="116">
        <f>'Toma datos 1'!O14</f>
        <v>-0.22590049292347752</v>
      </c>
      <c r="H7" s="116">
        <f>IF('Toma datos 1'!P14="",'Toma datos 1'!Q14,'Toma datos 1'!P14)</f>
        <v>0.0025</v>
      </c>
      <c r="I7" s="30"/>
      <c r="J7" s="30"/>
      <c r="K7" s="113">
        <f>IF('Toma datos 1'!B14&lt;&gt;0,'Toma datos 1'!B14,"")</f>
        <v>4000</v>
      </c>
      <c r="L7" s="102">
        <f>IF('Toma datos 1'!C14&lt;&gt;0,'Toma datos 1'!D14,"")</f>
        <v>4000</v>
      </c>
      <c r="M7" s="116">
        <f>'Toma datos 1'!L14</f>
        <v>4008.643067634576</v>
      </c>
      <c r="N7" s="116">
        <f>incertidumbres!K6</f>
        <v>0.15221117822279073</v>
      </c>
      <c r="O7" s="117">
        <f>incertidumbres!L6</f>
        <v>6.10160284399281</v>
      </c>
      <c r="P7" s="30"/>
      <c r="Q7" s="154"/>
      <c r="R7" s="154"/>
      <c r="S7" s="154"/>
      <c r="T7" s="154"/>
    </row>
    <row r="8" spans="1:20" ht="13.5" thickBot="1">
      <c r="A8" s="30"/>
      <c r="B8" s="116">
        <f>IF('Toma datos 1'!B15&lt;&gt;0,'Toma datos 1'!B15,"")</f>
        <v>6000</v>
      </c>
      <c r="C8" s="272">
        <f>IF('Toma datos 1'!C15&lt;&gt;0,'Toma datos 1'!D15,"")</f>
        <v>6000</v>
      </c>
      <c r="D8" s="116">
        <f>'Toma datos 1'!L15</f>
        <v>6013.747542508259</v>
      </c>
      <c r="E8" s="116">
        <f>'Toma datos 1'!M15</f>
        <v>-0.22860192269603372</v>
      </c>
      <c r="F8" s="116">
        <f>'Toma datos 1'!N15</f>
        <v>0.09817157728637524</v>
      </c>
      <c r="G8" s="116">
        <f>'Toma datos 1'!O15</f>
        <v>-0.25710337780169423</v>
      </c>
      <c r="H8" s="116">
        <f>IF('Toma datos 1'!P15="",'Toma datos 1'!Q15,'Toma datos 1'!P15)</f>
        <v>0.0016666666666666668</v>
      </c>
      <c r="I8" s="30"/>
      <c r="J8" s="30"/>
      <c r="K8" s="113">
        <f>IF('Toma datos 1'!B15&lt;&gt;0,'Toma datos 1'!B15,"")</f>
        <v>6000</v>
      </c>
      <c r="L8" s="102">
        <f>IF('Toma datos 1'!C15&lt;&gt;0,'Toma datos 1'!D15,"")</f>
        <v>6000</v>
      </c>
      <c r="M8" s="116">
        <f>'Toma datos 1'!L15</f>
        <v>6013.747542508259</v>
      </c>
      <c r="N8" s="116">
        <f>incertidumbres!K7</f>
        <v>0.16189361037598454</v>
      </c>
      <c r="O8" s="117">
        <f>incertidumbres!L7</f>
        <v>9.735873015463667</v>
      </c>
      <c r="P8" s="30"/>
      <c r="Q8" s="154"/>
      <c r="R8" s="154"/>
      <c r="S8" s="154"/>
      <c r="T8" s="154"/>
    </row>
    <row r="9" spans="1:20" ht="13.5" thickBot="1">
      <c r="A9" s="30"/>
      <c r="B9" s="116">
        <f>IF('Toma datos 1'!B16&lt;&gt;0,'Toma datos 1'!B16,"")</f>
        <v>8000</v>
      </c>
      <c r="C9" s="272">
        <f>IF('Toma datos 1'!C16&lt;&gt;0,'Toma datos 1'!D16,"")</f>
        <v>8001.3</v>
      </c>
      <c r="D9" s="116">
        <f>'Toma datos 1'!L16</f>
        <v>8019.982813767677</v>
      </c>
      <c r="E9" s="116">
        <f>'Toma datos 1'!M16</f>
        <v>-0.23295328932132348</v>
      </c>
      <c r="F9" s="116">
        <f>'Toma datos 1'!N16</f>
        <v>0.09107140481542235</v>
      </c>
      <c r="G9" s="116">
        <f>'Toma datos 1'!O16</f>
        <v>-0.2848100331464833</v>
      </c>
      <c r="H9" s="116">
        <f>IF('Toma datos 1'!P16="",'Toma datos 1'!Q16,'Toma datos 1'!P16)</f>
        <v>0.00125</v>
      </c>
      <c r="I9" s="30"/>
      <c r="J9" s="30"/>
      <c r="K9" s="113">
        <f>IF('Toma datos 1'!B16&lt;&gt;0,'Toma datos 1'!B16,"")</f>
        <v>8000</v>
      </c>
      <c r="L9" s="102">
        <f>IF('Toma datos 1'!C16&lt;&gt;0,'Toma datos 1'!D16,"")</f>
        <v>8001.3</v>
      </c>
      <c r="M9" s="116">
        <f>'Toma datos 1'!L16</f>
        <v>8019.982813767677</v>
      </c>
      <c r="N9" s="116">
        <f>incertidumbres!K8</f>
        <v>0.1754027349235234</v>
      </c>
      <c r="O9" s="117">
        <f>incertidumbres!L8</f>
        <v>14.067269195745052</v>
      </c>
      <c r="P9" s="30"/>
      <c r="Q9" s="154"/>
      <c r="R9" s="154"/>
      <c r="S9" s="154"/>
      <c r="T9" s="154"/>
    </row>
    <row r="10" spans="1:20" ht="13.5" thickBot="1">
      <c r="A10" s="30"/>
      <c r="B10" s="116">
        <f>IF('Toma datos 1'!B17&lt;&gt;0,'Toma datos 1'!B17,"")</f>
        <v>10000</v>
      </c>
      <c r="C10" s="272">
        <f>IF('Toma datos 1'!C17&lt;&gt;0,'Toma datos 1'!D17,"")</f>
        <v>10000</v>
      </c>
      <c r="D10" s="116">
        <f>'Toma datos 1'!L17</f>
        <v>9976.574119714474</v>
      </c>
      <c r="E10" s="116">
        <f>'Toma datos 1'!M17</f>
        <v>0.23480886328739142</v>
      </c>
      <c r="F10" s="116">
        <f>'Toma datos 1'!N17</f>
        <v>0.22756831022020707</v>
      </c>
      <c r="G10" s="116">
        <f>'Toma datos 1'!O17</f>
        <v>-0.19044613684024606</v>
      </c>
      <c r="H10" s="116">
        <f>IF('Toma datos 1'!P17="",'Toma datos 1'!Q17,'Toma datos 1'!P17)</f>
        <v>0.001</v>
      </c>
      <c r="I10" s="30"/>
      <c r="J10" s="30"/>
      <c r="K10" s="113">
        <f>IF('Toma datos 1'!B17&lt;&gt;0,'Toma datos 1'!B17,"")</f>
        <v>10000</v>
      </c>
      <c r="L10" s="102">
        <f>IF('Toma datos 1'!C17&lt;&gt;0,'Toma datos 1'!D17,"")</f>
        <v>10000</v>
      </c>
      <c r="M10" s="116">
        <f>'Toma datos 1'!L17</f>
        <v>9976.574119714474</v>
      </c>
      <c r="N10" s="116">
        <f>incertidumbres!K9</f>
        <v>0.17411117794276748</v>
      </c>
      <c r="O10" s="117">
        <f>incertidumbres!L9</f>
        <v>17.370330718168155</v>
      </c>
      <c r="P10" s="30"/>
      <c r="Q10" s="154"/>
      <c r="R10" s="154"/>
      <c r="S10" s="154"/>
      <c r="T10" s="154"/>
    </row>
    <row r="11" spans="1:20" ht="12.75">
      <c r="A11" s="30"/>
      <c r="B11" s="116">
        <f>IF('Toma datos 1'!B18&lt;&gt;0,'Toma datos 1'!B18,"")</f>
      </c>
      <c r="C11" s="272">
        <f>IF('Toma datos 1'!B18&lt;&gt;0,'Toma datos 1'!D18,"")</f>
      </c>
      <c r="D11" s="116">
        <f>'Toma datos 1'!L18</f>
      </c>
      <c r="E11" s="116">
        <f>'Toma datos 1'!M18</f>
      </c>
      <c r="F11" s="116">
        <f>'Toma datos 1'!N18</f>
      </c>
      <c r="G11" s="116">
        <f>'Toma datos 1'!O18</f>
      </c>
      <c r="H11" s="116">
        <f>IF('Toma datos 1'!P18="",'Toma datos 1'!Q18,'Toma datos 1'!P18)</f>
      </c>
      <c r="I11" s="30"/>
      <c r="J11" s="30"/>
      <c r="K11" s="113">
        <f>IF('Toma datos 1'!B18&lt;&gt;0,'Toma datos 1'!B18,"")</f>
      </c>
      <c r="L11" s="102">
        <f>IF('Toma datos 1'!C18&lt;&gt;0,'Toma datos 1'!C18,"")</f>
      </c>
      <c r="M11" s="116">
        <f>'Toma datos 1'!L18</f>
      </c>
      <c r="N11" s="116">
        <f>incertidumbres!K10</f>
      </c>
      <c r="O11" s="117">
        <f>incertidumbres!L10</f>
      </c>
      <c r="P11" s="30"/>
      <c r="Q11" s="154"/>
      <c r="R11" s="154"/>
      <c r="S11" s="154"/>
      <c r="T11" s="154"/>
    </row>
    <row r="12" spans="1:20" ht="12.75">
      <c r="A12" s="30"/>
      <c r="B12" s="116">
        <f>IF('Toma datos 1'!B19&lt;&gt;0,'Toma datos 1'!B19,"")</f>
      </c>
      <c r="C12" s="272">
        <f>IF('Toma datos 1'!B19&lt;&gt;0,'Toma datos 1'!D19,"")</f>
        <v>0</v>
      </c>
      <c r="D12" s="116">
        <f>'Toma datos 1'!L19</f>
      </c>
      <c r="E12" s="116">
        <f>'Toma datos 1'!M19</f>
      </c>
      <c r="F12" s="116">
        <f>'Toma datos 1'!N19</f>
      </c>
      <c r="G12" s="116">
        <f>'Toma datos 1'!O19</f>
      </c>
      <c r="H12" s="116">
        <f>IF('Toma datos 1'!P19="",'Toma datos 1'!Q19,'Toma datos 1'!P19)</f>
      </c>
      <c r="I12" s="30"/>
      <c r="J12" s="30"/>
      <c r="K12" s="115">
        <f>'Toma datos 1'!B19</f>
      </c>
      <c r="L12" s="116">
        <f>'Toma datos 1'!C19</f>
      </c>
      <c r="M12" s="116">
        <f>'Toma datos 1'!L19</f>
      </c>
      <c r="N12" s="116">
        <f>incertidumbres!K11</f>
      </c>
      <c r="O12" s="117">
        <f>incertidumbres!L11</f>
      </c>
      <c r="P12" s="30"/>
      <c r="Q12" s="154"/>
      <c r="R12" s="154"/>
      <c r="S12" s="154"/>
      <c r="T12" s="154"/>
    </row>
    <row r="13" spans="1:20" ht="12.75">
      <c r="A13" s="30"/>
      <c r="B13" s="116">
        <f>IF('Toma datos 1'!B20&lt;&gt;0,'Toma datos 1'!B20,"")</f>
      </c>
      <c r="C13" s="272">
        <f>IF('Toma datos 1'!C20&lt;&gt;0,'Toma datos 1'!D20,"")</f>
        <v>0</v>
      </c>
      <c r="D13" s="116">
        <f>'Toma datos 1'!L20</f>
      </c>
      <c r="E13" s="116">
        <f>'Toma datos 1'!M20</f>
      </c>
      <c r="F13" s="116">
        <f>'Toma datos 1'!N20</f>
      </c>
      <c r="G13" s="116">
        <f>'Toma datos 1'!O20</f>
      </c>
      <c r="H13" s="116">
        <f>IF('Toma datos 1'!P20="",'Toma datos 1'!Q20,'Toma datos 1'!P20)</f>
      </c>
      <c r="I13" s="30"/>
      <c r="J13" s="30"/>
      <c r="K13" s="115">
        <f>'Toma datos 1'!B20</f>
      </c>
      <c r="L13" s="116">
        <f>'Toma datos 1'!C20</f>
      </c>
      <c r="M13" s="116">
        <f>'Toma datos 1'!L20</f>
      </c>
      <c r="N13" s="116">
        <f>incertidumbres!K12</f>
      </c>
      <c r="O13" s="117">
        <f>incertidumbres!L12</f>
      </c>
      <c r="P13" s="30"/>
      <c r="Q13" s="154"/>
      <c r="R13" s="154"/>
      <c r="S13" s="154"/>
      <c r="T13" s="154"/>
    </row>
    <row r="14" spans="1:20" ht="13.5" thickBot="1">
      <c r="A14" s="30"/>
      <c r="B14" s="116">
        <f>IF('Toma datos 1'!B21&lt;&gt;0,'Toma datos 1'!B21,"")</f>
      </c>
      <c r="C14" s="272">
        <f>IF('Toma datos 1'!C21&lt;&gt;0,'Toma datos 1'!D21,"")</f>
        <v>0</v>
      </c>
      <c r="D14" s="116">
        <f>'Toma datos 1'!L21</f>
      </c>
      <c r="E14" s="116">
        <f>'Toma datos 1'!M21</f>
      </c>
      <c r="F14" s="116">
        <f>'Toma datos 1'!N21</f>
      </c>
      <c r="G14" s="116">
        <f>'Toma datos 1'!O21</f>
      </c>
      <c r="H14" s="116">
        <f>IF('Toma datos 1'!P21="",'Toma datos 1'!Q21,'Toma datos 1'!P21)</f>
      </c>
      <c r="I14" s="30"/>
      <c r="J14" s="30"/>
      <c r="K14" s="118">
        <f>'Toma datos 1'!B21</f>
      </c>
      <c r="L14" s="119">
        <f>'Toma datos 1'!C21</f>
      </c>
      <c r="M14" s="119">
        <f>'Toma datos 1'!L21</f>
      </c>
      <c r="N14" s="119">
        <f>incertidumbres!K13</f>
      </c>
      <c r="O14" s="120">
        <f>incertidumbres!L13</f>
      </c>
      <c r="P14" s="30"/>
      <c r="Q14" s="154"/>
      <c r="R14" s="154"/>
      <c r="S14" s="154"/>
      <c r="T14" s="154"/>
    </row>
    <row r="15" spans="1:20" ht="12.75">
      <c r="A15" s="30"/>
      <c r="B15" s="30"/>
      <c r="C15" s="30"/>
      <c r="D15" s="30"/>
      <c r="E15" s="30"/>
      <c r="F15" s="30"/>
      <c r="G15" s="30"/>
      <c r="H15" s="30"/>
      <c r="I15" s="30"/>
      <c r="J15" s="30"/>
      <c r="K15" s="127"/>
      <c r="L15" s="127"/>
      <c r="M15" s="127"/>
      <c r="N15" s="127"/>
      <c r="O15" s="127"/>
      <c r="P15" s="30"/>
      <c r="Q15" s="154"/>
      <c r="R15" s="154"/>
      <c r="S15" s="154"/>
      <c r="T15" s="154"/>
    </row>
    <row r="16" spans="1:20" ht="12.75">
      <c r="A16" s="30"/>
      <c r="B16" s="30"/>
      <c r="C16" s="30"/>
      <c r="D16" s="30"/>
      <c r="E16" s="30"/>
      <c r="F16" s="30"/>
      <c r="G16" s="30"/>
      <c r="H16" s="30"/>
      <c r="I16" s="30"/>
      <c r="J16" s="30"/>
      <c r="K16" s="128"/>
      <c r="L16" s="30"/>
      <c r="M16" s="30"/>
      <c r="N16" s="30"/>
      <c r="O16" s="30"/>
      <c r="P16" s="30"/>
      <c r="Q16" s="154"/>
      <c r="R16" s="154"/>
      <c r="S16" s="154"/>
      <c r="T16" s="154"/>
    </row>
    <row r="17" spans="1:20" ht="12.75">
      <c r="A17" s="30"/>
      <c r="B17" s="30"/>
      <c r="C17" s="30"/>
      <c r="D17" s="30"/>
      <c r="E17" s="30"/>
      <c r="F17" s="30"/>
      <c r="G17" s="30"/>
      <c r="H17" s="30"/>
      <c r="I17" s="30"/>
      <c r="J17" s="30"/>
      <c r="K17" s="346"/>
      <c r="L17" s="346"/>
      <c r="M17" s="346"/>
      <c r="N17" s="346"/>
      <c r="O17" s="61"/>
      <c r="P17" s="30"/>
      <c r="Q17" s="154"/>
      <c r="R17" s="154"/>
      <c r="S17" s="154"/>
      <c r="T17" s="154"/>
    </row>
    <row r="18" spans="1:20" ht="39" customHeight="1">
      <c r="A18" s="154"/>
      <c r="B18" s="154"/>
      <c r="C18" s="154"/>
      <c r="D18" s="154"/>
      <c r="E18" s="154"/>
      <c r="F18" s="154"/>
      <c r="G18" s="154"/>
      <c r="H18" s="154"/>
      <c r="I18" s="154"/>
      <c r="J18" s="154"/>
      <c r="K18" s="155"/>
      <c r="L18" s="155"/>
      <c r="M18" s="155"/>
      <c r="N18" s="155"/>
      <c r="O18" s="156"/>
      <c r="P18" s="154"/>
      <c r="Q18" s="154"/>
      <c r="R18" s="154"/>
      <c r="S18" s="154"/>
      <c r="T18" s="154"/>
    </row>
    <row r="19" spans="1:20" ht="12.75">
      <c r="A19" s="154"/>
      <c r="B19" s="154"/>
      <c r="C19" s="154"/>
      <c r="D19" s="154"/>
      <c r="E19" s="154"/>
      <c r="F19" s="154"/>
      <c r="G19" s="154"/>
      <c r="H19" s="154"/>
      <c r="I19" s="154"/>
      <c r="J19" s="154"/>
      <c r="K19" s="157"/>
      <c r="L19" s="157"/>
      <c r="M19" s="157"/>
      <c r="N19" s="158"/>
      <c r="O19" s="158"/>
      <c r="P19" s="154"/>
      <c r="Q19" s="154"/>
      <c r="R19" s="154"/>
      <c r="S19" s="154"/>
      <c r="T19" s="154"/>
    </row>
    <row r="20" spans="1:20" ht="12.75">
      <c r="A20" s="154"/>
      <c r="B20" s="154"/>
      <c r="C20" s="154"/>
      <c r="D20" s="154"/>
      <c r="E20" s="154"/>
      <c r="F20" s="154"/>
      <c r="G20" s="154"/>
      <c r="H20" s="154"/>
      <c r="I20" s="154"/>
      <c r="J20" s="154"/>
      <c r="K20" s="157"/>
      <c r="L20" s="157"/>
      <c r="M20" s="157"/>
      <c r="N20" s="158"/>
      <c r="O20" s="158"/>
      <c r="P20" s="154"/>
      <c r="Q20" s="154"/>
      <c r="R20" s="154"/>
      <c r="S20" s="154"/>
      <c r="T20" s="154"/>
    </row>
    <row r="21" spans="1:20" ht="12.75">
      <c r="A21" s="154"/>
      <c r="B21" s="154"/>
      <c r="C21" s="154"/>
      <c r="D21" s="154"/>
      <c r="E21" s="154"/>
      <c r="F21" s="154"/>
      <c r="G21" s="154"/>
      <c r="H21" s="154"/>
      <c r="I21" s="154"/>
      <c r="J21" s="154"/>
      <c r="K21" s="157"/>
      <c r="L21" s="157"/>
      <c r="M21" s="157"/>
      <c r="N21" s="158"/>
      <c r="O21" s="158"/>
      <c r="P21" s="154"/>
      <c r="Q21" s="154"/>
      <c r="R21" s="154"/>
      <c r="S21" s="154"/>
      <c r="T21" s="154"/>
    </row>
    <row r="22" spans="1:20" ht="12.75">
      <c r="A22" s="154"/>
      <c r="B22" s="154"/>
      <c r="C22" s="154"/>
      <c r="D22" s="154"/>
      <c r="E22" s="154"/>
      <c r="F22" s="154"/>
      <c r="G22" s="154"/>
      <c r="H22" s="154"/>
      <c r="I22" s="154"/>
      <c r="J22" s="154"/>
      <c r="K22" s="157"/>
      <c r="L22" s="157"/>
      <c r="M22" s="157"/>
      <c r="N22" s="158"/>
      <c r="O22" s="158"/>
      <c r="P22" s="154"/>
      <c r="Q22" s="154"/>
      <c r="R22" s="154"/>
      <c r="S22" s="154"/>
      <c r="T22" s="154"/>
    </row>
    <row r="23" spans="1:20" ht="12.75">
      <c r="A23" s="154"/>
      <c r="B23" s="154"/>
      <c r="C23" s="154"/>
      <c r="D23" s="154"/>
      <c r="E23" s="154"/>
      <c r="F23" s="154"/>
      <c r="G23" s="154"/>
      <c r="H23" s="154"/>
      <c r="I23" s="154"/>
      <c r="J23" s="154"/>
      <c r="K23" s="157"/>
      <c r="L23" s="157"/>
      <c r="M23" s="157"/>
      <c r="N23" s="158"/>
      <c r="O23" s="158"/>
      <c r="P23" s="154"/>
      <c r="Q23" s="154"/>
      <c r="R23" s="154"/>
      <c r="S23" s="154"/>
      <c r="T23" s="154"/>
    </row>
    <row r="24" spans="1:20" ht="12.75">
      <c r="A24" s="154"/>
      <c r="B24" s="154"/>
      <c r="C24" s="154"/>
      <c r="D24" s="154"/>
      <c r="E24" s="154"/>
      <c r="F24" s="154"/>
      <c r="G24" s="154"/>
      <c r="H24" s="154"/>
      <c r="I24" s="154"/>
      <c r="J24" s="154"/>
      <c r="K24" s="157"/>
      <c r="L24" s="157"/>
      <c r="M24" s="157"/>
      <c r="N24" s="158"/>
      <c r="O24" s="158"/>
      <c r="P24" s="154"/>
      <c r="Q24" s="154"/>
      <c r="R24" s="154"/>
      <c r="S24" s="154"/>
      <c r="T24" s="154"/>
    </row>
    <row r="25" spans="1:20" ht="12.75">
      <c r="A25" s="154"/>
      <c r="B25" s="154"/>
      <c r="C25" s="154"/>
      <c r="D25" s="154"/>
      <c r="E25" s="154"/>
      <c r="F25" s="154"/>
      <c r="G25" s="154"/>
      <c r="H25" s="154"/>
      <c r="I25" s="154"/>
      <c r="J25" s="154"/>
      <c r="K25" s="157"/>
      <c r="L25" s="157"/>
      <c r="M25" s="157"/>
      <c r="N25" s="158"/>
      <c r="O25" s="158"/>
      <c r="P25" s="154"/>
      <c r="Q25" s="154"/>
      <c r="R25" s="154"/>
      <c r="S25" s="154"/>
      <c r="T25" s="154"/>
    </row>
    <row r="26" spans="1:20" ht="12.75">
      <c r="A26" s="154"/>
      <c r="B26" s="154"/>
      <c r="C26" s="154"/>
      <c r="D26" s="154"/>
      <c r="E26" s="154"/>
      <c r="F26" s="154"/>
      <c r="G26" s="154"/>
      <c r="H26" s="154"/>
      <c r="I26" s="154"/>
      <c r="J26" s="154"/>
      <c r="K26" s="157"/>
      <c r="L26" s="157"/>
      <c r="M26" s="157"/>
      <c r="N26" s="158"/>
      <c r="O26" s="158"/>
      <c r="P26" s="154"/>
      <c r="Q26" s="154"/>
      <c r="R26" s="154"/>
      <c r="S26" s="154"/>
      <c r="T26" s="154"/>
    </row>
    <row r="27" spans="1:20" ht="12.75">
      <c r="A27" s="154"/>
      <c r="B27" s="154"/>
      <c r="C27" s="154"/>
      <c r="D27" s="154"/>
      <c r="E27" s="154"/>
      <c r="F27" s="154"/>
      <c r="G27" s="154"/>
      <c r="H27" s="154"/>
      <c r="I27" s="154"/>
      <c r="J27" s="154"/>
      <c r="K27" s="157"/>
      <c r="L27" s="157"/>
      <c r="M27" s="157"/>
      <c r="N27" s="158"/>
      <c r="O27" s="158"/>
      <c r="P27" s="154"/>
      <c r="Q27" s="154"/>
      <c r="R27" s="154"/>
      <c r="S27" s="154"/>
      <c r="T27" s="154"/>
    </row>
    <row r="28" spans="1:20" ht="12.75">
      <c r="A28" s="154"/>
      <c r="B28" s="154"/>
      <c r="C28" s="154"/>
      <c r="D28" s="154"/>
      <c r="E28" s="154"/>
      <c r="F28" s="154"/>
      <c r="G28" s="154"/>
      <c r="H28" s="154"/>
      <c r="I28" s="154"/>
      <c r="J28" s="154"/>
      <c r="K28" s="243"/>
      <c r="L28" s="160"/>
      <c r="M28" s="160"/>
      <c r="N28" s="160"/>
      <c r="O28" s="160"/>
      <c r="P28" s="154"/>
      <c r="Q28" s="154"/>
      <c r="R28" s="154"/>
      <c r="S28" s="154"/>
      <c r="T28" s="154"/>
    </row>
    <row r="29" spans="1:20" ht="12.75">
      <c r="A29" s="154"/>
      <c r="B29" s="154"/>
      <c r="C29" s="154"/>
      <c r="D29" s="154"/>
      <c r="E29" s="154"/>
      <c r="F29" s="154"/>
      <c r="G29" s="154"/>
      <c r="H29" s="154"/>
      <c r="I29" s="154"/>
      <c r="J29" s="154"/>
      <c r="K29" s="244"/>
      <c r="L29" s="154"/>
      <c r="M29" s="154"/>
      <c r="N29" s="154"/>
      <c r="O29" s="154"/>
      <c r="P29" s="154"/>
      <c r="Q29" s="154"/>
      <c r="R29" s="154"/>
      <c r="S29" s="154"/>
      <c r="T29" s="154"/>
    </row>
    <row r="30" spans="1:20" ht="12.75">
      <c r="A30" s="154"/>
      <c r="B30" s="154"/>
      <c r="C30" s="154"/>
      <c r="D30" s="154"/>
      <c r="E30" s="154"/>
      <c r="F30" s="154"/>
      <c r="G30" s="154"/>
      <c r="H30" s="154"/>
      <c r="I30" s="154"/>
      <c r="J30" s="154"/>
      <c r="K30" s="244"/>
      <c r="L30" s="154"/>
      <c r="M30" s="154"/>
      <c r="N30" s="154"/>
      <c r="O30" s="154"/>
      <c r="P30" s="154"/>
      <c r="Q30" s="154"/>
      <c r="R30" s="154"/>
      <c r="S30" s="154"/>
      <c r="T30" s="154"/>
    </row>
    <row r="31" spans="1:20" ht="12.75">
      <c r="A31" s="154"/>
      <c r="B31" s="154"/>
      <c r="C31" s="154"/>
      <c r="D31" s="154"/>
      <c r="E31" s="154"/>
      <c r="F31" s="154"/>
      <c r="G31" s="154"/>
      <c r="H31" s="154"/>
      <c r="I31" s="154"/>
      <c r="J31" s="154"/>
      <c r="K31" s="244"/>
      <c r="L31" s="154"/>
      <c r="M31" s="154"/>
      <c r="N31" s="154"/>
      <c r="O31" s="154"/>
      <c r="P31" s="154"/>
      <c r="Q31" s="154"/>
      <c r="R31" s="154"/>
      <c r="S31" s="154"/>
      <c r="T31" s="154"/>
    </row>
    <row r="32" spans="1:20" ht="12.75">
      <c r="A32" s="154"/>
      <c r="B32" s="154"/>
      <c r="C32" s="154"/>
      <c r="D32" s="154"/>
      <c r="E32" s="154"/>
      <c r="F32" s="154"/>
      <c r="G32" s="154"/>
      <c r="H32" s="154"/>
      <c r="I32" s="154"/>
      <c r="J32" s="154"/>
      <c r="K32" s="154"/>
      <c r="L32" s="154"/>
      <c r="M32" s="154"/>
      <c r="N32" s="154"/>
      <c r="O32" s="154"/>
      <c r="P32" s="154"/>
      <c r="Q32" s="154"/>
      <c r="R32" s="154"/>
      <c r="S32" s="154"/>
      <c r="T32" s="154"/>
    </row>
    <row r="33" spans="1:20" ht="12.75">
      <c r="A33" s="154"/>
      <c r="B33" s="154"/>
      <c r="C33" s="154"/>
      <c r="D33" s="154"/>
      <c r="E33" s="154"/>
      <c r="F33" s="154"/>
      <c r="G33" s="154"/>
      <c r="H33" s="154"/>
      <c r="I33" s="154"/>
      <c r="J33" s="154"/>
      <c r="K33" s="154"/>
      <c r="L33" s="154"/>
      <c r="M33" s="154"/>
      <c r="N33" s="154"/>
      <c r="O33" s="154"/>
      <c r="P33" s="154"/>
      <c r="Q33" s="154"/>
      <c r="R33" s="154"/>
      <c r="S33" s="154"/>
      <c r="T33" s="154"/>
    </row>
    <row r="34" spans="1:20" ht="12.75">
      <c r="A34" s="154"/>
      <c r="B34" s="154"/>
      <c r="C34" s="154"/>
      <c r="D34" s="154"/>
      <c r="E34" s="154"/>
      <c r="F34" s="154"/>
      <c r="G34" s="154"/>
      <c r="H34" s="154"/>
      <c r="I34" s="154"/>
      <c r="J34" s="154"/>
      <c r="K34" s="154"/>
      <c r="L34" s="154"/>
      <c r="M34" s="154"/>
      <c r="N34" s="154"/>
      <c r="O34" s="154"/>
      <c r="P34" s="154"/>
      <c r="Q34" s="154"/>
      <c r="R34" s="154"/>
      <c r="S34" s="154"/>
      <c r="T34" s="154"/>
    </row>
    <row r="35" spans="1:20" ht="12.75">
      <c r="A35" s="154"/>
      <c r="B35" s="154"/>
      <c r="C35" s="154"/>
      <c r="D35" s="154"/>
      <c r="E35" s="154"/>
      <c r="F35" s="154"/>
      <c r="G35" s="154"/>
      <c r="H35" s="154"/>
      <c r="I35" s="154"/>
      <c r="J35" s="154"/>
      <c r="K35" s="154"/>
      <c r="L35" s="154"/>
      <c r="M35" s="154"/>
      <c r="N35" s="154"/>
      <c r="O35" s="154"/>
      <c r="P35" s="154"/>
      <c r="Q35" s="154"/>
      <c r="R35" s="154"/>
      <c r="S35" s="154"/>
      <c r="T35" s="154"/>
    </row>
    <row r="36" spans="1:20" ht="12.75">
      <c r="A36" s="154"/>
      <c r="B36" s="154"/>
      <c r="C36" s="154"/>
      <c r="D36" s="154"/>
      <c r="E36" s="154"/>
      <c r="F36" s="154"/>
      <c r="G36" s="154"/>
      <c r="H36" s="154"/>
      <c r="I36" s="154"/>
      <c r="J36" s="154"/>
      <c r="K36" s="154"/>
      <c r="L36" s="154"/>
      <c r="M36" s="154"/>
      <c r="N36" s="154"/>
      <c r="O36" s="154"/>
      <c r="P36" s="154"/>
      <c r="Q36" s="154"/>
      <c r="R36" s="154"/>
      <c r="S36" s="154"/>
      <c r="T36" s="154"/>
    </row>
    <row r="37" spans="1:20" ht="12.75">
      <c r="A37" s="154"/>
      <c r="B37" s="154"/>
      <c r="C37" s="154"/>
      <c r="D37" s="154"/>
      <c r="E37" s="154"/>
      <c r="F37" s="154"/>
      <c r="G37" s="154"/>
      <c r="H37" s="154"/>
      <c r="I37" s="154"/>
      <c r="J37" s="154"/>
      <c r="K37" s="154"/>
      <c r="L37" s="154"/>
      <c r="M37" s="154"/>
      <c r="N37" s="154"/>
      <c r="O37" s="154"/>
      <c r="P37" s="154"/>
      <c r="Q37" s="154"/>
      <c r="R37" s="154"/>
      <c r="S37" s="154"/>
      <c r="T37" s="154"/>
    </row>
    <row r="38" spans="1:20" ht="12.75">
      <c r="A38" s="154"/>
      <c r="B38" s="154"/>
      <c r="C38" s="154"/>
      <c r="D38" s="154"/>
      <c r="E38" s="154"/>
      <c r="F38" s="154"/>
      <c r="G38" s="154"/>
      <c r="H38" s="154"/>
      <c r="I38" s="154"/>
      <c r="J38" s="154"/>
      <c r="K38" s="154"/>
      <c r="L38" s="154"/>
      <c r="M38" s="154"/>
      <c r="N38" s="154"/>
      <c r="O38" s="154"/>
      <c r="P38" s="154"/>
      <c r="Q38" s="154"/>
      <c r="R38" s="154"/>
      <c r="S38" s="154"/>
      <c r="T38" s="154"/>
    </row>
    <row r="39" spans="1:20" ht="12.75">
      <c r="A39" s="154"/>
      <c r="B39" s="154"/>
      <c r="C39" s="154"/>
      <c r="D39" s="154"/>
      <c r="E39" s="154"/>
      <c r="F39" s="154"/>
      <c r="G39" s="154"/>
      <c r="H39" s="154"/>
      <c r="I39" s="154"/>
      <c r="J39" s="154"/>
      <c r="K39" s="154"/>
      <c r="L39" s="154"/>
      <c r="M39" s="154"/>
      <c r="N39" s="154"/>
      <c r="O39" s="154"/>
      <c r="P39" s="154"/>
      <c r="Q39" s="154"/>
      <c r="R39" s="154"/>
      <c r="S39" s="154"/>
      <c r="T39" s="154"/>
    </row>
    <row r="40" spans="1:20" ht="12.75">
      <c r="A40" s="154"/>
      <c r="B40" s="154"/>
      <c r="C40" s="154"/>
      <c r="D40" s="154"/>
      <c r="E40" s="154"/>
      <c r="F40" s="154"/>
      <c r="G40" s="154"/>
      <c r="H40" s="154"/>
      <c r="I40" s="154"/>
      <c r="J40" s="154"/>
      <c r="K40" s="154"/>
      <c r="L40" s="154"/>
      <c r="M40" s="154"/>
      <c r="N40" s="154"/>
      <c r="O40" s="154"/>
      <c r="P40" s="154"/>
      <c r="Q40" s="154"/>
      <c r="R40" s="154"/>
      <c r="S40" s="154"/>
      <c r="T40" s="154"/>
    </row>
    <row r="41" spans="1:20" ht="12.75">
      <c r="A41" s="154"/>
      <c r="B41" s="154"/>
      <c r="C41" s="154"/>
      <c r="D41" s="154"/>
      <c r="E41" s="154"/>
      <c r="F41" s="154"/>
      <c r="G41" s="154"/>
      <c r="H41" s="154"/>
      <c r="I41" s="154"/>
      <c r="J41" s="154"/>
      <c r="K41" s="154"/>
      <c r="L41" s="154"/>
      <c r="M41" s="154"/>
      <c r="N41" s="154"/>
      <c r="O41" s="154"/>
      <c r="P41" s="154"/>
      <c r="Q41" s="154"/>
      <c r="R41" s="154"/>
      <c r="S41" s="154"/>
      <c r="T41" s="154"/>
    </row>
    <row r="42" spans="1:20" ht="12.75">
      <c r="A42" s="154"/>
      <c r="B42" s="154"/>
      <c r="C42" s="154"/>
      <c r="D42" s="154"/>
      <c r="E42" s="154"/>
      <c r="F42" s="154"/>
      <c r="G42" s="154"/>
      <c r="H42" s="154"/>
      <c r="I42" s="154"/>
      <c r="J42" s="154"/>
      <c r="K42" s="154"/>
      <c r="L42" s="154"/>
      <c r="M42" s="154"/>
      <c r="N42" s="154"/>
      <c r="O42" s="154"/>
      <c r="P42" s="154"/>
      <c r="Q42" s="154"/>
      <c r="R42" s="154"/>
      <c r="S42" s="154"/>
      <c r="T42" s="154"/>
    </row>
    <row r="43" spans="1:20" ht="12.75">
      <c r="A43" s="154"/>
      <c r="B43" s="154"/>
      <c r="C43" s="154"/>
      <c r="D43" s="154"/>
      <c r="E43" s="154"/>
      <c r="F43" s="154"/>
      <c r="G43" s="154"/>
      <c r="H43" s="154"/>
      <c r="I43" s="154"/>
      <c r="J43" s="154"/>
      <c r="K43" s="154"/>
      <c r="L43" s="154"/>
      <c r="M43" s="154"/>
      <c r="N43" s="154"/>
      <c r="O43" s="154"/>
      <c r="P43" s="154"/>
      <c r="Q43" s="154"/>
      <c r="R43" s="154"/>
      <c r="S43" s="154"/>
      <c r="T43" s="154"/>
    </row>
    <row r="44" spans="1:20" ht="12.75">
      <c r="A44" s="154"/>
      <c r="B44" s="154"/>
      <c r="C44" s="154"/>
      <c r="D44" s="154"/>
      <c r="E44" s="154"/>
      <c r="F44" s="154"/>
      <c r="G44" s="154"/>
      <c r="H44" s="154"/>
      <c r="I44" s="154"/>
      <c r="J44" s="154"/>
      <c r="K44" s="154"/>
      <c r="L44" s="154"/>
      <c r="M44" s="154"/>
      <c r="N44" s="154"/>
      <c r="O44" s="154"/>
      <c r="P44" s="154"/>
      <c r="Q44" s="154"/>
      <c r="R44" s="154"/>
      <c r="S44" s="154"/>
      <c r="T44" s="154"/>
    </row>
  </sheetData>
  <sheetProtection sheet="1" objects="1" scenarios="1"/>
  <mergeCells count="2">
    <mergeCell ref="K4:O4"/>
    <mergeCell ref="K17:N17"/>
  </mergeCells>
  <printOptions/>
  <pageMargins left="0.75" right="0.75" top="1" bottom="1"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N27"/>
  <sheetViews>
    <sheetView tabSelected="1" workbookViewId="0" topLeftCell="A1">
      <selection activeCell="K26" sqref="K26"/>
    </sheetView>
  </sheetViews>
  <sheetFormatPr defaultColWidth="11.421875" defaultRowHeight="12.75"/>
  <sheetData>
    <row r="1" spans="1:14" ht="12.75">
      <c r="A1" s="209" t="s">
        <v>134</v>
      </c>
      <c r="C1" s="209" t="s">
        <v>135</v>
      </c>
      <c r="E1" s="211" t="s">
        <v>87</v>
      </c>
      <c r="F1" s="212" t="s">
        <v>88</v>
      </c>
      <c r="H1" s="226" t="s">
        <v>100</v>
      </c>
      <c r="K1" t="s">
        <v>152</v>
      </c>
      <c r="L1" t="s">
        <v>149</v>
      </c>
      <c r="M1" t="s">
        <v>150</v>
      </c>
      <c r="N1" t="s">
        <v>151</v>
      </c>
    </row>
    <row r="2" spans="1:14" ht="12.75">
      <c r="A2" s="206" t="s">
        <v>64</v>
      </c>
      <c r="C2" s="207" t="s">
        <v>66</v>
      </c>
      <c r="E2" s="213">
        <v>0.5</v>
      </c>
      <c r="F2" s="214">
        <v>400</v>
      </c>
      <c r="H2" s="215" t="s">
        <v>71</v>
      </c>
      <c r="K2">
        <v>0.5</v>
      </c>
      <c r="L2">
        <v>1</v>
      </c>
      <c r="M2">
        <v>2</v>
      </c>
      <c r="N2">
        <v>3</v>
      </c>
    </row>
    <row r="3" spans="1:14" ht="12.75">
      <c r="A3" s="206" t="s">
        <v>65</v>
      </c>
      <c r="C3" s="208" t="s">
        <v>101</v>
      </c>
      <c r="E3" s="214">
        <v>1</v>
      </c>
      <c r="F3" s="214">
        <v>200</v>
      </c>
      <c r="H3" s="215" t="s">
        <v>72</v>
      </c>
      <c r="K3">
        <v>0.5</v>
      </c>
      <c r="L3">
        <v>1</v>
      </c>
      <c r="M3">
        <v>2</v>
      </c>
      <c r="N3">
        <v>3</v>
      </c>
    </row>
    <row r="4" spans="1:14" ht="12.75">
      <c r="A4" s="206"/>
      <c r="C4" s="208"/>
      <c r="E4" s="214">
        <v>2</v>
      </c>
      <c r="F4" s="214">
        <v>100</v>
      </c>
      <c r="H4" s="215" t="s">
        <v>73</v>
      </c>
      <c r="K4">
        <v>0.5</v>
      </c>
      <c r="L4">
        <v>1</v>
      </c>
      <c r="M4">
        <v>2</v>
      </c>
      <c r="N4">
        <v>3</v>
      </c>
    </row>
    <row r="5" spans="1:14" ht="12.75">
      <c r="A5" s="206"/>
      <c r="C5" s="208"/>
      <c r="E5" s="214">
        <v>3</v>
      </c>
      <c r="F5" s="214">
        <v>66.6</v>
      </c>
      <c r="H5" s="215" t="s">
        <v>74</v>
      </c>
      <c r="K5">
        <v>0.5</v>
      </c>
      <c r="L5">
        <v>1</v>
      </c>
      <c r="M5">
        <v>2</v>
      </c>
      <c r="N5">
        <v>3</v>
      </c>
    </row>
    <row r="6" spans="1:14" ht="12.75">
      <c r="A6" s="210" t="s">
        <v>136</v>
      </c>
      <c r="C6" s="208"/>
      <c r="E6" s="215" t="s">
        <v>107</v>
      </c>
      <c r="F6" s="215"/>
      <c r="H6" s="215" t="s">
        <v>75</v>
      </c>
      <c r="K6">
        <v>0.5</v>
      </c>
      <c r="L6">
        <v>1</v>
      </c>
      <c r="M6">
        <v>2</v>
      </c>
      <c r="N6">
        <v>3</v>
      </c>
    </row>
    <row r="7" spans="1:14" ht="12" customHeight="1">
      <c r="A7" s="30" t="s">
        <v>115</v>
      </c>
      <c r="C7" s="224" t="s">
        <v>81</v>
      </c>
      <c r="E7" s="209" t="s">
        <v>138</v>
      </c>
      <c r="G7" s="209" t="s">
        <v>137</v>
      </c>
      <c r="K7">
        <v>0.5</v>
      </c>
      <c r="L7">
        <v>1</v>
      </c>
      <c r="M7">
        <v>2</v>
      </c>
      <c r="N7">
        <v>3</v>
      </c>
    </row>
    <row r="8" spans="1:14" ht="25.5">
      <c r="A8" s="136" t="s">
        <v>116</v>
      </c>
      <c r="C8" s="224" t="s">
        <v>82</v>
      </c>
      <c r="E8" s="206" t="s">
        <v>30</v>
      </c>
      <c r="G8" s="206" t="s">
        <v>33</v>
      </c>
      <c r="K8">
        <v>0.5</v>
      </c>
      <c r="L8">
        <v>1</v>
      </c>
      <c r="M8">
        <v>2</v>
      </c>
      <c r="N8">
        <v>3</v>
      </c>
    </row>
    <row r="9" spans="3:14" ht="12.75">
      <c r="C9" s="225" t="s">
        <v>83</v>
      </c>
      <c r="E9" s="206" t="s">
        <v>124</v>
      </c>
      <c r="G9" s="206" t="s">
        <v>34</v>
      </c>
      <c r="K9">
        <v>0.5</v>
      </c>
      <c r="L9">
        <v>1</v>
      </c>
      <c r="M9">
        <v>2</v>
      </c>
      <c r="N9">
        <v>3</v>
      </c>
    </row>
    <row r="10" spans="5:14" ht="12.75">
      <c r="E10" s="206" t="s">
        <v>108</v>
      </c>
      <c r="K10">
        <v>0.5</v>
      </c>
      <c r="L10">
        <v>1</v>
      </c>
      <c r="M10">
        <v>2</v>
      </c>
      <c r="N10">
        <v>3</v>
      </c>
    </row>
    <row r="11" spans="5:14" ht="15" customHeight="1">
      <c r="E11" s="206" t="s">
        <v>110</v>
      </c>
      <c r="K11">
        <v>0.5</v>
      </c>
      <c r="L11">
        <v>1</v>
      </c>
      <c r="M11">
        <v>2</v>
      </c>
      <c r="N11">
        <v>3</v>
      </c>
    </row>
    <row r="12" spans="5:14" ht="12.75">
      <c r="E12" s="206" t="s">
        <v>118</v>
      </c>
      <c r="K12">
        <v>0.5</v>
      </c>
      <c r="L12">
        <v>1</v>
      </c>
      <c r="M12">
        <v>2</v>
      </c>
      <c r="N12">
        <v>3</v>
      </c>
    </row>
    <row r="13" spans="1:14" ht="12.75">
      <c r="A13" t="s">
        <v>146</v>
      </c>
      <c r="F13" t="s">
        <v>145</v>
      </c>
      <c r="K13">
        <v>0.5</v>
      </c>
      <c r="L13">
        <v>1</v>
      </c>
      <c r="M13">
        <v>2</v>
      </c>
      <c r="N13">
        <v>3</v>
      </c>
    </row>
    <row r="14" spans="1:9" ht="12.75">
      <c r="A14" t="s">
        <v>147</v>
      </c>
      <c r="G14" s="60" t="s">
        <v>98</v>
      </c>
      <c r="I14" s="60" t="s">
        <v>99</v>
      </c>
    </row>
    <row r="15" spans="1:10" ht="12.75">
      <c r="A15" s="231" t="s">
        <v>102</v>
      </c>
      <c r="B15" s="231" t="s">
        <v>103</v>
      </c>
      <c r="C15" s="231" t="s">
        <v>104</v>
      </c>
      <c r="D15" s="231" t="s">
        <v>105</v>
      </c>
      <c r="F15" s="101">
        <f>IF('Toma datos 1'!$J$5&gt;='Toma datos 1'!$J$4,'Toma datos 1'!$J$5)</f>
        <v>2000</v>
      </c>
      <c r="G15" s="242">
        <f>IF('Toma datos 1'!J5&gt;'Toma datos 1'!J4,MAX('Toma datos 1'!J4:J5),MIN(J15:J19))</f>
        <v>2000</v>
      </c>
      <c r="H15" s="78" t="b">
        <f>IF('Toma datos 1'!J5&lt;'Toma datos 1'!J4,'Toma datos 1'!J4)</f>
        <v>0</v>
      </c>
      <c r="I15" s="100" t="b">
        <f>IF(H15&gt;'Toma datos 1'!$J$5,H15,'Toma datos 1'!$J$5)</f>
        <v>0</v>
      </c>
      <c r="J15" s="100">
        <f>IF(I15&lt;&gt;'Toma datos 1'!N1,I15,"")</f>
      </c>
    </row>
    <row r="16" spans="1:10" ht="12.75">
      <c r="A16" s="231"/>
      <c r="B16" s="60"/>
      <c r="C16" s="231"/>
      <c r="D16" s="231"/>
      <c r="F16" s="101">
        <f>IF('Toma datos 1'!$J$5&gt;'Toma datos 1'!$J$4,('Toma datos 1'!J6-'Toma datos 1'!$J$5)*25/100+'Toma datos 1'!$J$5,IF('Toma datos 1'!$J$5='Toma datos 1'!$J$4,'Toma datos 1'!J6*40/100))</f>
        <v>4000</v>
      </c>
      <c r="G16" s="30"/>
      <c r="H16" s="78">
        <f>'Toma datos 1'!J6*10/100</f>
        <v>1000</v>
      </c>
      <c r="I16" s="100">
        <f>IF(H16&gt;'Toma datos 1'!$J$5,H16,'Toma datos 1'!$J$5)</f>
        <v>2000</v>
      </c>
      <c r="J16" s="100">
        <f>IF(I16&lt;&gt;I15,I16,"")</f>
        <v>2000</v>
      </c>
    </row>
    <row r="17" spans="1:10" ht="12.75">
      <c r="A17" s="231">
        <f>IF(AND('Toma datos 1'!B13&gt;'Toma datos'!$C$27,'Toma datos 1'!B13&lt;='Toma datos'!$D$27),1,)</f>
        <v>1</v>
      </c>
      <c r="B17" s="231">
        <f>IF(AND('Toma datos 1'!B13&gt;'Toma datos'!$C$28,'Toma datos 1'!B13&lt;'Toma datos'!$D$28),1,)</f>
        <v>0</v>
      </c>
      <c r="C17" s="231">
        <f>IF(AND('Toma datos 1'!B13&gt;'Toma datos'!$C$29,'Toma datos 1'!B13&lt;'Toma datos'!$D$29),1,)</f>
        <v>0</v>
      </c>
      <c r="D17" s="231">
        <f>IF(AND('Toma datos 1'!B13&gt;'Toma datos'!$C$30,'Toma datos 1'!B13&lt;'Toma datos'!$D$30),1,)</f>
        <v>0</v>
      </c>
      <c r="F17" s="101">
        <f>IF('Toma datos 1'!$J$5&gt;'Toma datos 1'!$J$4,('Toma datos 1'!J6-'Toma datos 1'!$J$5)*50/100+'Toma datos 1'!$J$5,IF('Toma datos 1'!$J$5='Toma datos 1'!$J$4,'Toma datos 1'!J6*60/100))</f>
        <v>6000</v>
      </c>
      <c r="G17" s="30"/>
      <c r="H17" s="78">
        <f>'Toma datos 1'!J6*5/100</f>
        <v>500</v>
      </c>
      <c r="I17" s="100">
        <f>IF(H17&gt;'Toma datos 1'!$J$5,H17,'Toma datos 1'!$J$5)</f>
        <v>2000</v>
      </c>
      <c r="J17" s="100">
        <f>IF(I17&lt;&gt;I16,I17,"")</f>
      </c>
    </row>
    <row r="18" spans="1:10" ht="12.75">
      <c r="A18" s="231">
        <f>IF(AND('Toma datos 1'!B14&gt;'Toma datos'!$C$27,'Toma datos 1'!B14&lt;='Toma datos'!$D$27),1,)</f>
        <v>1</v>
      </c>
      <c r="B18" s="231">
        <f>IF(AND('Toma datos 1'!B14&gt;'Toma datos'!$C$28,'Toma datos 1'!B14&lt;'Toma datos'!$D$28),1,)</f>
        <v>0</v>
      </c>
      <c r="C18" s="231">
        <f>IF(AND('Toma datos 1'!B14&gt;'Toma datos'!$C$29,'Toma datos 1'!B14&lt;'Toma datos'!$D$29),1,)</f>
        <v>0</v>
      </c>
      <c r="D18" s="231">
        <f>IF(AND('Toma datos 1'!B14&gt;'Toma datos'!$C$30,'Toma datos 1'!B14&lt;'Toma datos'!$D$30),1,)</f>
        <v>0</v>
      </c>
      <c r="F18" s="101">
        <f>IF('Toma datos 1'!$J$5&gt;'Toma datos 1'!$J$4,('Toma datos 1'!J6-'Toma datos 1'!$J$5)*75/100+'Toma datos 1'!$J$5,IF('Toma datos 1'!$J$5='Toma datos 1'!$J$4,'Toma datos 1'!J6*80/100))</f>
        <v>8000</v>
      </c>
      <c r="G18" s="70"/>
      <c r="H18" s="78">
        <f>'Toma datos 1'!J6*2/100</f>
        <v>200</v>
      </c>
      <c r="I18" s="100">
        <f>IF(H18&gt;'Toma datos 1'!$J$5,H18,'Toma datos 1'!$J$5)</f>
        <v>2000</v>
      </c>
      <c r="J18" s="100">
        <f>IF(I18&lt;&gt;I17,I18,"")</f>
      </c>
    </row>
    <row r="19" spans="1:10" ht="12.75">
      <c r="A19" s="231">
        <f>IF(AND('Toma datos 1'!B15&gt;'Toma datos'!$C$27,'Toma datos 1'!B15&lt;='Toma datos'!$D$27),1,)</f>
        <v>0</v>
      </c>
      <c r="B19" s="231">
        <f>IF(AND('Toma datos 1'!B15&gt;'Toma datos'!$C$28,'Toma datos 1'!B15&lt;'Toma datos'!$D$28),1,)</f>
        <v>0</v>
      </c>
      <c r="C19" s="231">
        <f>IF(AND('Toma datos 1'!B15&gt;'Toma datos'!$C$29,'Toma datos 1'!B15&lt;'Toma datos'!$D$29),1,)</f>
        <v>0</v>
      </c>
      <c r="D19" s="231">
        <f>IF(AND('Toma datos 1'!B15&gt;'Toma datos'!$C$30,'Toma datos 1'!B15&lt;'Toma datos'!$D$30),1,)</f>
        <v>0</v>
      </c>
      <c r="F19" s="101">
        <f>IF('Toma datos 1'!$J$5&gt;'Toma datos 1'!$J$4,('Toma datos 1'!J6-'Toma datos 1'!$J$5)*100/100+'Toma datos 1'!$J$5,IF('Toma datos 1'!$J$5='Toma datos 1'!$J$4,'Toma datos 1'!J6*100/100))</f>
        <v>10000</v>
      </c>
      <c r="G19" s="33"/>
      <c r="H19" s="78">
        <f>'Toma datos 1'!J6*1/100</f>
        <v>100</v>
      </c>
      <c r="I19" s="100">
        <f>IF(H19&gt;'Toma datos 1'!$J$5,H19,'Toma datos 1'!$J$5)</f>
        <v>2000</v>
      </c>
      <c r="J19" s="100">
        <f>IF(I19&lt;&gt;I18,I19,"")</f>
      </c>
    </row>
    <row r="20" spans="1:10" ht="12.75">
      <c r="A20" s="231">
        <f>IF(AND('Toma datos 1'!B16&gt;'Toma datos'!$C$27,'Toma datos 1'!B16&lt;'Toma datos'!$D$27),1,)</f>
        <v>0</v>
      </c>
      <c r="B20" s="231">
        <f>IF(AND('Toma datos 1'!B16&gt;'Toma datos'!$C$28,'Toma datos 1'!B16&lt;'Toma datos'!$D$28),1,)</f>
        <v>0</v>
      </c>
      <c r="C20" s="231">
        <f>IF(AND('Toma datos 1'!B16&gt;'Toma datos'!$C$29,'Toma datos 1'!B16&lt;'Toma datos'!$D$29),1,)</f>
        <v>0</v>
      </c>
      <c r="D20" s="231">
        <f>IF(AND('Toma datos 1'!B16&gt;'Toma datos'!$C$30,'Toma datos 1'!B16&lt;'Toma datos'!$D$30),1,)</f>
        <v>0</v>
      </c>
      <c r="F20" s="101">
        <f>IF(AND('Toma datos 1'!$J$5&gt;='Toma datos 1'!$J$4,F19='Toma datos 1'!J6),0,"")</f>
        <v>0</v>
      </c>
      <c r="G20" s="33"/>
      <c r="H20" s="78"/>
      <c r="I20" s="100"/>
      <c r="J20" s="100"/>
    </row>
    <row r="21" spans="1:10" ht="12.75">
      <c r="A21" s="231">
        <f>IF(AND('Toma datos 1'!B17&gt;'Toma datos'!$C$27,'Toma datos 1'!B17&lt;'Toma datos'!$D$27),1,)</f>
        <v>0</v>
      </c>
      <c r="B21" s="231">
        <f>IF(AND('Toma datos 1'!B17&gt;'Toma datos'!$C$28,'Toma datos 1'!B17&lt;'Toma datos'!$D$28),1,)</f>
        <v>0</v>
      </c>
      <c r="C21" s="231">
        <f>IF(AND('Toma datos 1'!B17&gt;'Toma datos'!$C$29,'Toma datos 1'!B17&lt;'Toma datos'!$D$29),1,)</f>
        <v>0</v>
      </c>
      <c r="D21" s="231">
        <f>IF(AND('Toma datos 1'!B17&gt;'Toma datos'!$C$30,'Toma datos 1'!B17&lt;'Toma datos'!$D$30),1,)</f>
        <v>0</v>
      </c>
      <c r="F21" s="101">
        <f>IF(AND('Toma datos 1'!$J$5&gt;'Toma datos 1'!$J$4,F20='Toma datos'!D27),0,"")</f>
      </c>
      <c r="G21" s="68"/>
      <c r="H21" s="78">
        <f>'Toma datos 1'!J6*0.5/100</f>
        <v>50</v>
      </c>
      <c r="I21" s="100">
        <f>IF(H21&gt;'Toma datos 1'!$J$5,H21,'Toma datos 1'!$J$5)</f>
        <v>2000</v>
      </c>
      <c r="J21" s="100"/>
    </row>
    <row r="22" spans="1:10" ht="12.75">
      <c r="A22" s="231">
        <f>IF(AND('Toma datos 1'!B18&gt;'Toma datos'!$C$27,'Toma datos 1'!B18&lt;'Toma datos'!$D$27),1,)</f>
        <v>0</v>
      </c>
      <c r="B22" s="231">
        <f>IF(AND('Toma datos 1'!B18&gt;'Toma datos'!$C$28,'Toma datos 1'!B18&lt;'Toma datos'!$D$28),1,)</f>
        <v>0</v>
      </c>
      <c r="C22" s="231">
        <f>IF(AND('Toma datos 1'!B18&gt;'Toma datos'!$C$29,'Toma datos 1'!B18&lt;'Toma datos'!$D$29),1,)</f>
        <v>0</v>
      </c>
      <c r="D22" s="231">
        <f>IF(AND('Toma datos 1'!B18&gt;'Toma datos'!$C$30,'Toma datos 1'!B18&lt;'Toma datos'!$D$30),1,)</f>
        <v>0</v>
      </c>
      <c r="F22" s="101"/>
      <c r="G22" s="30"/>
      <c r="H22" s="78">
        <f>'Toma datos 1'!J6*1/100</f>
        <v>100</v>
      </c>
      <c r="I22" s="100">
        <f>IF(H22&gt;'Toma datos 1'!$J$5,H22,'Toma datos 1'!$J$5)</f>
        <v>2000</v>
      </c>
      <c r="J22" s="100"/>
    </row>
    <row r="23" spans="1:10" ht="12.75">
      <c r="A23" s="231">
        <f>IF(AND('Toma datos 1'!B19&gt;'Toma datos'!$C$27,'Toma datos 1'!B19&lt;'Toma datos'!$D$27),1,)</f>
        <v>0</v>
      </c>
      <c r="B23" s="231">
        <f>IF(AND('Toma datos 1'!B19&gt;'Toma datos'!$C$28,'Toma datos 1'!B19&lt;'Toma datos'!$D$28),1,)</f>
        <v>0</v>
      </c>
      <c r="C23" s="231">
        <f>IF(AND('Toma datos 1'!B19&gt;'Toma datos'!$C$29,'Toma datos 1'!B19&lt;'Toma datos'!$D$29),1,)</f>
        <v>0</v>
      </c>
      <c r="D23" s="231">
        <f>IF(AND('Toma datos 1'!B19&gt;'Toma datos'!$C$30,'Toma datos 1'!B19&lt;'Toma datos'!$D$30),1,)</f>
        <v>0</v>
      </c>
      <c r="F23" s="30"/>
      <c r="G23" s="30"/>
      <c r="H23" s="78">
        <f>'Toma datos 1'!J10*1/100</f>
        <v>0</v>
      </c>
      <c r="I23" s="100">
        <f>IF(H23&gt;'Toma datos 1'!$J$5,H23,'Toma datos 1'!$J$5)</f>
        <v>2000</v>
      </c>
      <c r="J23" s="100"/>
    </row>
    <row r="24" spans="1:6" ht="12.75">
      <c r="A24" s="231">
        <f>IF(AND('Toma datos 1'!B20&gt;'Toma datos'!$C$27,'Toma datos 1'!B20&lt;'Toma datos'!$D$27),1,)</f>
        <v>0</v>
      </c>
      <c r="B24" s="231">
        <f>IF(AND('Toma datos 1'!B20&gt;'Toma datos'!$C$28,'Toma datos 1'!B20&lt;'Toma datos'!$D$28),1,)</f>
        <v>0</v>
      </c>
      <c r="C24" s="231">
        <f>IF(AND('Toma datos 1'!B20&gt;'Toma datos'!$C$29,'Toma datos 1'!B20&lt;'Toma datos'!$D$29),1,)</f>
        <v>0</v>
      </c>
      <c r="D24" s="231">
        <f>IF(AND('Toma datos 1'!B20&gt;'Toma datos'!$C$30,'Toma datos 1'!B20&lt;'Toma datos'!$D$30),1,)</f>
        <v>0</v>
      </c>
      <c r="F24" s="30"/>
    </row>
    <row r="25" spans="1:6" ht="12.75">
      <c r="A25" s="231">
        <f>IF(AND('Toma datos 1'!B21&gt;'Toma datos'!$C$27,'Toma datos 1'!B21&lt;'Toma datos'!$D$27),1,)</f>
        <v>0</v>
      </c>
      <c r="B25" s="231">
        <f>IF(AND('Toma datos 1'!B21&gt;'Toma datos'!$C$28,'Toma datos 1'!B21&lt;'Toma datos'!$D$28),1,)</f>
        <v>0</v>
      </c>
      <c r="C25" s="231">
        <f>IF(AND('Toma datos 1'!B21&gt;'Toma datos'!$C$29,'Toma datos 1'!B21&lt;'Toma datos'!$D$29),1,)</f>
        <v>0</v>
      </c>
      <c r="D25" s="231">
        <f>IF(AND('Toma datos 1'!B21&gt;'Toma datos'!$C$30,'Toma datos 1'!B21&lt;'Toma datos'!$D$30),1,)</f>
        <v>0</v>
      </c>
      <c r="F25" t="s">
        <v>144</v>
      </c>
    </row>
    <row r="26" spans="1:9" ht="12.75">
      <c r="A26" s="231">
        <f>IF(AND('Toma datos 1'!B22&gt;'Toma datos'!$C$27,'Toma datos 1'!B22&lt;'Toma datos'!$D$27),1,)</f>
        <v>0</v>
      </c>
      <c r="B26" s="231">
        <f>IF(AND('Toma datos 1'!B22&gt;'Toma datos'!$C$28,'Toma datos 1'!B22&lt;'Toma datos'!$D$28),1,)</f>
        <v>0</v>
      </c>
      <c r="C26" s="231">
        <f>IF(AND('Toma datos 1'!B22&gt;'Toma datos'!$C$29,'Toma datos 1'!B22&lt;'Toma datos'!$D$29),1,)</f>
        <v>0</v>
      </c>
      <c r="D26" s="231">
        <f>IF(AND('Toma datos 1'!B22&gt;'Toma datos'!$C$30,'Toma datos 1'!B22&lt;'Toma datos'!$D$30),1,)</f>
        <v>0</v>
      </c>
      <c r="F26" s="75">
        <f>VLOOKUP(MAX('Toma datos 1'!$B$12:$B$22),'Toma datos 1'!$B$13:$E$22,3,FALSE)</f>
        <v>10000</v>
      </c>
      <c r="G26" s="75">
        <f>VLOOKUP(MAX('Toma datos 1'!$B$12:$B$22),'Toma datos 1'!$B$13:$E$22,3,FALSE)</f>
        <v>10000</v>
      </c>
      <c r="H26" s="75">
        <f>VLOOKUP(MAX('Toma datos 1'!$B$12:$B$22),'Toma datos 1'!$B$13:$E$22,3,FALSE)</f>
        <v>10000</v>
      </c>
      <c r="I26" s="216"/>
    </row>
    <row r="27" spans="1:9" ht="12.75">
      <c r="A27" s="232">
        <f>COUNTIF(A17:A26,1)</f>
        <v>2</v>
      </c>
      <c r="B27" s="232">
        <f>IF('Toma datos'!D28="","5",COUNTIF(B17:B26,1))</f>
        <v>0</v>
      </c>
      <c r="C27" s="232">
        <f>IF('Toma datos'!D29="","5",COUNTIF(C17:C26,1))</f>
        <v>0</v>
      </c>
      <c r="D27" s="232">
        <f>IF('Toma datos'!D30="","5",COUNTIF(D17:D26,1))</f>
        <v>0</v>
      </c>
      <c r="F27" s="75">
        <f>VLOOKUP(0,'Toma datos 1'!B13:E22,4,FALSE)</f>
        <v>-1.333277116080729</v>
      </c>
      <c r="G27" s="75">
        <f>IF('Toma datos 1'!F4=1,VLOOKUP(0,'Toma datos 1'!B13:F22,5,FALSE),IF('Toma datos 1'!F4=2,VLOOKUP(0,'Toma datos 1'!B13:G22,6,FALSE),"error"))</f>
        <v>5</v>
      </c>
      <c r="H27" s="75">
        <f>VLOOKUP(0,'Toma datos 1'!B13:H22,7,FALSE)</f>
        <v>0.4685908204801552</v>
      </c>
      <c r="I27" s="216"/>
    </row>
  </sheetData>
  <sheetProtection sheet="1" objects="1" scenario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VEIASA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mmendez</dc:creator>
  <cp:keywords/>
  <dc:description/>
  <cp:lastModifiedBy>Peri</cp:lastModifiedBy>
  <cp:lastPrinted>2003-04-07T14:47:18Z</cp:lastPrinted>
  <dcterms:created xsi:type="dcterms:W3CDTF">2002-10-11T09:43:58Z</dcterms:created>
  <dcterms:modified xsi:type="dcterms:W3CDTF">2003-09-28T19:20:11Z</dcterms:modified>
  <cp:category/>
  <cp:version/>
  <cp:contentType/>
  <cp:contentStatus/>
</cp:coreProperties>
</file>