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1"/>
  </bookViews>
  <sheets>
    <sheet name="TABLA REGISTRO MERCANTIL" sheetId="1" r:id="rId1"/>
    <sheet name="M.A.S." sheetId="2" r:id="rId2"/>
  </sheets>
  <definedNames/>
  <calcPr fullCalcOnLoad="1"/>
</workbook>
</file>

<file path=xl/sharedStrings.xml><?xml version="1.0" encoding="utf-8"?>
<sst xmlns="http://schemas.openxmlformats.org/spreadsheetml/2006/main" count="92" uniqueCount="91">
  <si>
    <t>N</t>
  </si>
  <si>
    <t>MEDIA</t>
  </si>
  <si>
    <t>VARIANZA</t>
  </si>
  <si>
    <t>CV2</t>
  </si>
  <si>
    <t>n</t>
  </si>
  <si>
    <t>Z</t>
  </si>
  <si>
    <t>Error</t>
  </si>
  <si>
    <t>n0</t>
  </si>
  <si>
    <t>Muestra</t>
  </si>
  <si>
    <t>Cuadrados</t>
  </si>
  <si>
    <t>CALCULO DE MUESTRAS</t>
  </si>
  <si>
    <t>Datos de la muestra</t>
  </si>
  <si>
    <t>FACTURACIÓN</t>
  </si>
  <si>
    <t>HOJA</t>
  </si>
  <si>
    <t>NOMBRE EMPRESA</t>
  </si>
  <si>
    <t>AUT1</t>
  </si>
  <si>
    <t>AUT2</t>
  </si>
  <si>
    <t>AUT3</t>
  </si>
  <si>
    <t>AUT4</t>
  </si>
  <si>
    <t>AUT5</t>
  </si>
  <si>
    <t>AUT6</t>
  </si>
  <si>
    <t>AUT7</t>
  </si>
  <si>
    <t>AUT8</t>
  </si>
  <si>
    <t>AUT9</t>
  </si>
  <si>
    <t>AUT10</t>
  </si>
  <si>
    <t>AUT11</t>
  </si>
  <si>
    <t>AUT12</t>
  </si>
  <si>
    <t>AUT13</t>
  </si>
  <si>
    <t>AUT14</t>
  </si>
  <si>
    <t>AUT15</t>
  </si>
  <si>
    <t>AUT16</t>
  </si>
  <si>
    <t>AUT17</t>
  </si>
  <si>
    <t>AUT18</t>
  </si>
  <si>
    <t>AUT19</t>
  </si>
  <si>
    <t>AUT20</t>
  </si>
  <si>
    <t>AUT21</t>
  </si>
  <si>
    <t>AUT22</t>
  </si>
  <si>
    <t>AUT23</t>
  </si>
  <si>
    <t>AUT24</t>
  </si>
  <si>
    <t>AUT25</t>
  </si>
  <si>
    <t>AUT26</t>
  </si>
  <si>
    <t>AUT27</t>
  </si>
  <si>
    <t>Rodamientos Almanzora</t>
  </si>
  <si>
    <t>2000 (€)</t>
  </si>
  <si>
    <t>2001 (€)</t>
  </si>
  <si>
    <t>Nº EMPLEADOS</t>
  </si>
  <si>
    <t>Teplamoplai, S.L.</t>
  </si>
  <si>
    <t>Orva Industrial Metalurgia, S.L.</t>
  </si>
  <si>
    <t>Villalina, S.L.</t>
  </si>
  <si>
    <t>Fumapa, S.L.</t>
  </si>
  <si>
    <t>Linallac Foams, S.L.</t>
  </si>
  <si>
    <t>Mecanizados de precisión Linares, S.A.L.</t>
  </si>
  <si>
    <t>Delphi Automotive Systems España, S.L.</t>
  </si>
  <si>
    <t>Industrias Auxiliares Marteñas, S.A.</t>
  </si>
  <si>
    <t>Pintados Garley, S.L.</t>
  </si>
  <si>
    <t>Fundiciones Caetano, S.A.</t>
  </si>
  <si>
    <t>Olba Componentes, S. L.</t>
  </si>
  <si>
    <t>Acabados y pinturas Carolina, S.L.</t>
  </si>
  <si>
    <t>Fabricados para automoción del Sur, S.L.</t>
  </si>
  <si>
    <t>Transformrados del Vidrio de Linares, S.L.</t>
  </si>
  <si>
    <t>Linametal Europa, S.L.</t>
  </si>
  <si>
    <t>Gestamp Linares, S.A.</t>
  </si>
  <si>
    <t xml:space="preserve">Industrias Algama, S.L. </t>
  </si>
  <si>
    <t>Grupo Antolín- Euroépsilon, S.L.</t>
  </si>
  <si>
    <t>Copema Ingenieros, S.A.</t>
  </si>
  <si>
    <t>Construcciones Industriales Andaluzas, S.A.</t>
  </si>
  <si>
    <t>Climasur 21, S.A.</t>
  </si>
  <si>
    <t xml:space="preserve">Antonio Carreras Soria, S.L. </t>
  </si>
  <si>
    <t>Cayata, S.L.</t>
  </si>
  <si>
    <t>Cataforesis Andalucía, S.L.</t>
  </si>
  <si>
    <t>Valeo Iluminación, S.A.</t>
  </si>
  <si>
    <t>Teknia Plásticos Martos, S.A.</t>
  </si>
  <si>
    <t>EMPLEADOS</t>
  </si>
  <si>
    <t>RATIO</t>
  </si>
  <si>
    <t>RATIOS</t>
  </si>
  <si>
    <t>DITECSA JAÉN, S.R.L.</t>
  </si>
  <si>
    <t>Pintados Garley</t>
  </si>
  <si>
    <t>Andalplast, S.L.</t>
  </si>
  <si>
    <t>GES ANDALUCIA, S.L.</t>
  </si>
  <si>
    <t>ORVA INDUSTRIAL METALÚRGICO, S.L.</t>
  </si>
  <si>
    <t>FUNDICIONES CAETANO, S.A.</t>
  </si>
  <si>
    <t>CATAFORESIS ANDALUCIA, S.L.</t>
  </si>
  <si>
    <t>RESORTES DEL SUR, S.A.L.</t>
  </si>
  <si>
    <t>USOTOR SUR, S.L.</t>
  </si>
  <si>
    <t>PROYECTOS E INSTALACIONES SERNA, S.L.</t>
  </si>
  <si>
    <t>CONSTRUCCIONES INDUSTRIALES ANDALUZAS, S.A.</t>
  </si>
  <si>
    <t>CONSTRUCCIONES METÁLICAS DEL PONIENTE, S.L.</t>
  </si>
  <si>
    <t>LINALLAC FOAMS, S.L.</t>
  </si>
  <si>
    <t>PROINSUR</t>
  </si>
  <si>
    <t>FUMAPA, S.L.</t>
  </si>
  <si>
    <t>FACTUR. 2003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</si>
</sst>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1" fillId="3" borderId="1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4" fontId="0" fillId="4" borderId="1" xfId="0" applyNumberFormat="1" applyFill="1" applyBorder="1" applyAlignment="1">
      <alignment/>
    </xf>
    <xf numFmtId="0" fontId="0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4" fontId="0" fillId="5" borderId="1" xfId="0" applyNumberForma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0" fillId="0" borderId="1" xfId="0" applyNumberFormat="1" applyFill="1" applyBorder="1" applyAlignment="1">
      <alignment/>
    </xf>
    <xf numFmtId="0" fontId="0" fillId="0" borderId="1" xfId="0" applyBorder="1" applyAlignment="1">
      <alignment/>
    </xf>
    <xf numFmtId="4" fontId="0" fillId="6" borderId="16" xfId="0" applyNumberFormat="1" applyFill="1" applyBorder="1" applyAlignment="1">
      <alignment/>
    </xf>
    <xf numFmtId="4" fontId="0" fillId="7" borderId="1" xfId="0" applyNumberFormat="1" applyFill="1" applyBorder="1" applyAlignment="1">
      <alignment/>
    </xf>
    <xf numFmtId="4" fontId="1" fillId="3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1" fillId="8" borderId="22" xfId="0" applyFont="1" applyFill="1" applyBorder="1" applyAlignment="1">
      <alignment horizontal="right" wrapText="1"/>
    </xf>
    <xf numFmtId="0" fontId="0" fillId="8" borderId="23" xfId="0" applyFill="1" applyBorder="1" applyAlignment="1">
      <alignment horizontal="right" wrapText="1"/>
    </xf>
    <xf numFmtId="0" fontId="1" fillId="5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FFCC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0"/>
  <sheetViews>
    <sheetView workbookViewId="0" topLeftCell="A2">
      <selection activeCell="K10" sqref="K10"/>
    </sheetView>
  </sheetViews>
  <sheetFormatPr defaultColWidth="11.421875" defaultRowHeight="12.75"/>
  <cols>
    <col min="5" max="5" width="4.7109375" style="0" customWidth="1"/>
    <col min="6" max="6" width="15.140625" style="0" customWidth="1"/>
    <col min="7" max="7" width="17.00390625" style="0" customWidth="1"/>
    <col min="8" max="8" width="8.8515625" style="0" customWidth="1"/>
    <col min="9" max="9" width="8.00390625" style="0" customWidth="1"/>
    <col min="11" max="11" width="11.421875" style="37" customWidth="1"/>
  </cols>
  <sheetData>
    <row r="2" spans="1:11" ht="12.75">
      <c r="A2" s="43" t="s">
        <v>12</v>
      </c>
      <c r="B2" s="44"/>
      <c r="C2" s="44"/>
      <c r="D2" s="44"/>
      <c r="E2" s="44"/>
      <c r="F2" s="44"/>
      <c r="G2" s="44"/>
      <c r="H2" s="42" t="s">
        <v>45</v>
      </c>
      <c r="I2" s="42"/>
      <c r="J2" s="42" t="s">
        <v>74</v>
      </c>
      <c r="K2" s="42"/>
    </row>
    <row r="3" spans="1:11" ht="12.75">
      <c r="A3" s="21" t="s">
        <v>13</v>
      </c>
      <c r="B3" s="45" t="s">
        <v>14</v>
      </c>
      <c r="C3" s="45"/>
      <c r="D3" s="45"/>
      <c r="E3" s="45"/>
      <c r="F3" s="21" t="s">
        <v>43</v>
      </c>
      <c r="G3" s="21" t="s">
        <v>44</v>
      </c>
      <c r="H3" s="21">
        <v>2000</v>
      </c>
      <c r="I3" s="21">
        <v>2001</v>
      </c>
      <c r="J3" s="21">
        <v>2000</v>
      </c>
      <c r="K3" s="35">
        <v>2001</v>
      </c>
    </row>
    <row r="4" spans="1:11" ht="12.75">
      <c r="A4" s="25" t="s">
        <v>15</v>
      </c>
      <c r="B4" s="40" t="s">
        <v>42</v>
      </c>
      <c r="C4" s="40"/>
      <c r="D4" s="40"/>
      <c r="E4" s="40"/>
      <c r="F4" s="27">
        <v>686329.52</v>
      </c>
      <c r="G4" s="27">
        <v>671790.38</v>
      </c>
      <c r="H4" s="27">
        <f>5.34+0.04</f>
        <v>5.38</v>
      </c>
      <c r="I4" s="27">
        <f>4.12+0.7</f>
        <v>4.82</v>
      </c>
      <c r="J4" s="32">
        <f>F4/H4</f>
        <v>127570.54275092938</v>
      </c>
      <c r="K4" s="36">
        <f>G4/I4</f>
        <v>139375.59751037342</v>
      </c>
    </row>
    <row r="5" spans="1:11" ht="12.75">
      <c r="A5" s="26" t="s">
        <v>16</v>
      </c>
      <c r="B5" s="40" t="s">
        <v>46</v>
      </c>
      <c r="C5" s="40"/>
      <c r="D5" s="40"/>
      <c r="E5" s="40"/>
      <c r="F5" s="27">
        <v>3922065.43</v>
      </c>
      <c r="G5" s="27">
        <v>2734576.05</v>
      </c>
      <c r="H5" s="27">
        <f>5+5</f>
        <v>10</v>
      </c>
      <c r="I5" s="27">
        <f>5+5</f>
        <v>10</v>
      </c>
      <c r="J5" s="32">
        <f aca="true" t="shared" si="0" ref="J5:J30">F5/H5</f>
        <v>392206.543</v>
      </c>
      <c r="K5" s="36">
        <f aca="true" t="shared" si="1" ref="K5:K29">G5/I5</f>
        <v>273457.605</v>
      </c>
    </row>
    <row r="6" spans="1:11" ht="12.75">
      <c r="A6" s="26" t="s">
        <v>17</v>
      </c>
      <c r="B6" s="40" t="s">
        <v>47</v>
      </c>
      <c r="C6" s="40"/>
      <c r="D6" s="40"/>
      <c r="E6" s="40"/>
      <c r="F6" s="27">
        <v>160849.5</v>
      </c>
      <c r="G6" s="27">
        <v>301266.32</v>
      </c>
      <c r="H6" s="27">
        <f>4.03+0.06</f>
        <v>4.09</v>
      </c>
      <c r="I6" s="27">
        <f>5.28+0</f>
        <v>5.28</v>
      </c>
      <c r="J6" s="32">
        <f t="shared" si="0"/>
        <v>39327.50611246944</v>
      </c>
      <c r="K6" s="36">
        <f t="shared" si="1"/>
        <v>57058.01515151515</v>
      </c>
    </row>
    <row r="7" spans="1:11" ht="12.75">
      <c r="A7" s="23" t="s">
        <v>18</v>
      </c>
      <c r="B7" s="41" t="s">
        <v>48</v>
      </c>
      <c r="C7" s="41"/>
      <c r="D7" s="41"/>
      <c r="E7" s="41"/>
      <c r="F7" s="24">
        <v>493962.36</v>
      </c>
      <c r="G7" s="24">
        <v>384799.46</v>
      </c>
      <c r="H7" s="24">
        <v>0</v>
      </c>
      <c r="I7" s="24">
        <f>3+12.5</f>
        <v>15.5</v>
      </c>
      <c r="J7" s="32"/>
      <c r="K7" s="36">
        <f t="shared" si="1"/>
        <v>24825.771612903227</v>
      </c>
    </row>
    <row r="8" spans="1:11" ht="12.75">
      <c r="A8" s="23" t="s">
        <v>19</v>
      </c>
      <c r="B8" s="41" t="s">
        <v>49</v>
      </c>
      <c r="C8" s="41"/>
      <c r="D8" s="41"/>
      <c r="E8" s="41"/>
      <c r="F8" s="24">
        <v>1041489.6</v>
      </c>
      <c r="G8" s="24">
        <v>735859.25</v>
      </c>
      <c r="H8" s="24">
        <v>0</v>
      </c>
      <c r="I8" s="24">
        <v>0</v>
      </c>
      <c r="J8" s="32"/>
      <c r="K8" s="36"/>
    </row>
    <row r="9" spans="1:11" ht="12.75">
      <c r="A9" s="26" t="s">
        <v>20</v>
      </c>
      <c r="B9" s="40" t="s">
        <v>50</v>
      </c>
      <c r="C9" s="40"/>
      <c r="D9" s="40"/>
      <c r="E9" s="40"/>
      <c r="F9" s="27">
        <v>996072.51</v>
      </c>
      <c r="G9" s="27">
        <v>974016.08</v>
      </c>
      <c r="H9" s="27">
        <f>9+3</f>
        <v>12</v>
      </c>
      <c r="I9" s="27">
        <f>10+1</f>
        <v>11</v>
      </c>
      <c r="J9" s="32">
        <f t="shared" si="0"/>
        <v>83006.0425</v>
      </c>
      <c r="K9" s="36">
        <f t="shared" si="1"/>
        <v>88546.91636363637</v>
      </c>
    </row>
    <row r="10" spans="1:11" ht="12.75">
      <c r="A10" s="26" t="s">
        <v>21</v>
      </c>
      <c r="B10" s="40" t="s">
        <v>51</v>
      </c>
      <c r="C10" s="40"/>
      <c r="D10" s="40"/>
      <c r="E10" s="40"/>
      <c r="F10" s="27">
        <v>352594.4</v>
      </c>
      <c r="G10" s="27">
        <v>371307.47</v>
      </c>
      <c r="H10" s="27">
        <v>11</v>
      </c>
      <c r="I10" s="27">
        <v>11</v>
      </c>
      <c r="J10" s="32">
        <f t="shared" si="0"/>
        <v>32054.036363636365</v>
      </c>
      <c r="K10" s="36">
        <f t="shared" si="1"/>
        <v>33755.22454545454</v>
      </c>
    </row>
    <row r="11" spans="1:11" ht="12.75">
      <c r="A11" s="26" t="s">
        <v>22</v>
      </c>
      <c r="B11" s="40" t="s">
        <v>52</v>
      </c>
      <c r="C11" s="40"/>
      <c r="D11" s="40"/>
      <c r="E11" s="40"/>
      <c r="F11" s="27">
        <v>337240000</v>
      </c>
      <c r="G11" s="27">
        <v>378161000</v>
      </c>
      <c r="H11" s="27">
        <f>2438+375</f>
        <v>2813</v>
      </c>
      <c r="I11" s="27">
        <f>2812+287</f>
        <v>3099</v>
      </c>
      <c r="J11" s="32">
        <f t="shared" si="0"/>
        <v>119886.24244578741</v>
      </c>
      <c r="K11" s="36">
        <f t="shared" si="1"/>
        <v>122026.782833172</v>
      </c>
    </row>
    <row r="12" spans="1:11" ht="12.75">
      <c r="A12" s="26" t="s">
        <v>23</v>
      </c>
      <c r="B12" s="40" t="s">
        <v>53</v>
      </c>
      <c r="C12" s="40"/>
      <c r="D12" s="40"/>
      <c r="E12" s="40"/>
      <c r="F12" s="27">
        <v>29440411.15</v>
      </c>
      <c r="G12" s="27">
        <v>32237973.05</v>
      </c>
      <c r="H12" s="27">
        <f>119+66</f>
        <v>185</v>
      </c>
      <c r="I12" s="27">
        <f>119+32</f>
        <v>151</v>
      </c>
      <c r="J12" s="32">
        <f t="shared" si="0"/>
        <v>159137.35756756755</v>
      </c>
      <c r="K12" s="36">
        <f t="shared" si="1"/>
        <v>213496.51026490066</v>
      </c>
    </row>
    <row r="13" spans="1:11" ht="12.75">
      <c r="A13" s="23" t="s">
        <v>24</v>
      </c>
      <c r="B13" s="41" t="s">
        <v>54</v>
      </c>
      <c r="C13" s="41"/>
      <c r="D13" s="41"/>
      <c r="E13" s="41"/>
      <c r="F13" s="24">
        <v>0</v>
      </c>
      <c r="G13" s="24">
        <v>740017</v>
      </c>
      <c r="H13" s="24">
        <v>0</v>
      </c>
      <c r="I13" s="24">
        <f>0+5</f>
        <v>5</v>
      </c>
      <c r="J13" s="32"/>
      <c r="K13" s="36">
        <f t="shared" si="1"/>
        <v>148003.4</v>
      </c>
    </row>
    <row r="14" spans="1:11" ht="12.75">
      <c r="A14" s="23" t="s">
        <v>25</v>
      </c>
      <c r="B14" s="41" t="s">
        <v>55</v>
      </c>
      <c r="C14" s="41"/>
      <c r="D14" s="41"/>
      <c r="E14" s="41"/>
      <c r="F14" s="24">
        <v>8694488.97</v>
      </c>
      <c r="G14" s="24">
        <v>10078383.19</v>
      </c>
      <c r="H14" s="24">
        <v>0</v>
      </c>
      <c r="I14" s="24">
        <v>0</v>
      </c>
      <c r="J14" s="32"/>
      <c r="K14" s="36"/>
    </row>
    <row r="15" spans="1:11" ht="12.75">
      <c r="A15" s="23" t="s">
        <v>26</v>
      </c>
      <c r="B15" s="41" t="s">
        <v>56</v>
      </c>
      <c r="C15" s="41"/>
      <c r="D15" s="41"/>
      <c r="E15" s="41"/>
      <c r="F15" s="24">
        <v>0</v>
      </c>
      <c r="G15" s="24">
        <v>121423.26</v>
      </c>
      <c r="H15" s="24">
        <v>0</v>
      </c>
      <c r="I15" s="24">
        <f>0+8</f>
        <v>8</v>
      </c>
      <c r="J15" s="32"/>
      <c r="K15" s="36">
        <f t="shared" si="1"/>
        <v>15177.9075</v>
      </c>
    </row>
    <row r="16" spans="1:11" ht="12.75">
      <c r="A16" s="23" t="s">
        <v>27</v>
      </c>
      <c r="B16" s="41" t="s">
        <v>57</v>
      </c>
      <c r="C16" s="41"/>
      <c r="D16" s="41"/>
      <c r="E16" s="41"/>
      <c r="F16" s="24">
        <v>1001927.6</v>
      </c>
      <c r="G16" s="24">
        <v>729510.76</v>
      </c>
      <c r="H16" s="24">
        <f>12+10</f>
        <v>22</v>
      </c>
      <c r="I16" s="24">
        <f>9+6</f>
        <v>15</v>
      </c>
      <c r="J16" s="32">
        <f t="shared" si="0"/>
        <v>45542.163636363635</v>
      </c>
      <c r="K16" s="36">
        <f t="shared" si="1"/>
        <v>48634.05066666667</v>
      </c>
    </row>
    <row r="17" spans="1:11" ht="12.75">
      <c r="A17" s="23" t="s">
        <v>28</v>
      </c>
      <c r="B17" s="41" t="s">
        <v>58</v>
      </c>
      <c r="C17" s="41"/>
      <c r="D17" s="41"/>
      <c r="E17" s="41"/>
      <c r="F17" s="24">
        <v>2013071.35</v>
      </c>
      <c r="G17" s="24">
        <v>2443283.82</v>
      </c>
      <c r="H17" s="24">
        <f>21+6</f>
        <v>27</v>
      </c>
      <c r="I17" s="24"/>
      <c r="J17" s="32">
        <f t="shared" si="0"/>
        <v>74558.19814814815</v>
      </c>
      <c r="K17" s="36"/>
    </row>
    <row r="18" spans="1:11" ht="12.75">
      <c r="A18" s="26" t="s">
        <v>29</v>
      </c>
      <c r="B18" s="40" t="s">
        <v>59</v>
      </c>
      <c r="C18" s="40"/>
      <c r="D18" s="40"/>
      <c r="E18" s="40"/>
      <c r="F18" s="27">
        <v>910613.15</v>
      </c>
      <c r="G18" s="27">
        <v>745059.07</v>
      </c>
      <c r="H18" s="27">
        <f>5+17</f>
        <v>22</v>
      </c>
      <c r="I18" s="27">
        <f>5+14</f>
        <v>19</v>
      </c>
      <c r="J18" s="32">
        <f t="shared" si="0"/>
        <v>41391.50681818182</v>
      </c>
      <c r="K18" s="36">
        <f t="shared" si="1"/>
        <v>39213.63526315789</v>
      </c>
    </row>
    <row r="19" spans="1:11" ht="12.75">
      <c r="A19" s="26" t="s">
        <v>30</v>
      </c>
      <c r="B19" s="40" t="s">
        <v>60</v>
      </c>
      <c r="C19" s="40"/>
      <c r="D19" s="40"/>
      <c r="E19" s="40"/>
      <c r="F19" s="27">
        <v>245162.89</v>
      </c>
      <c r="G19" s="27">
        <v>1333069.09</v>
      </c>
      <c r="H19" s="27">
        <f>20+1</f>
        <v>21</v>
      </c>
      <c r="I19" s="27">
        <f>17+10</f>
        <v>27</v>
      </c>
      <c r="J19" s="32">
        <f t="shared" si="0"/>
        <v>11674.423333333334</v>
      </c>
      <c r="K19" s="36">
        <f t="shared" si="1"/>
        <v>49372.92925925926</v>
      </c>
    </row>
    <row r="20" spans="1:11" ht="12.75">
      <c r="A20" s="26" t="s">
        <v>31</v>
      </c>
      <c r="B20" s="40" t="s">
        <v>61</v>
      </c>
      <c r="C20" s="40"/>
      <c r="D20" s="40"/>
      <c r="E20" s="40"/>
      <c r="F20" s="27">
        <v>10261351</v>
      </c>
      <c r="G20" s="27">
        <v>12254065</v>
      </c>
      <c r="H20" s="27">
        <f>55+20</f>
        <v>75</v>
      </c>
      <c r="I20" s="27">
        <f>60+33</f>
        <v>93</v>
      </c>
      <c r="J20" s="32">
        <f t="shared" si="0"/>
        <v>136818.01333333334</v>
      </c>
      <c r="K20" s="36">
        <f t="shared" si="1"/>
        <v>131764.13978494622</v>
      </c>
    </row>
    <row r="21" spans="1:11" ht="12.75">
      <c r="A21" s="26" t="s">
        <v>32</v>
      </c>
      <c r="B21" s="40" t="s">
        <v>62</v>
      </c>
      <c r="C21" s="40"/>
      <c r="D21" s="40"/>
      <c r="E21" s="40"/>
      <c r="F21" s="27">
        <v>3131975.05</v>
      </c>
      <c r="G21" s="27">
        <v>2950905.27</v>
      </c>
      <c r="H21" s="27">
        <f>29+18.49</f>
        <v>47.489999999999995</v>
      </c>
      <c r="I21" s="27">
        <f>29.59+20.47</f>
        <v>50.06</v>
      </c>
      <c r="J21" s="32">
        <f t="shared" si="0"/>
        <v>65950.20109496737</v>
      </c>
      <c r="K21" s="36">
        <f t="shared" si="1"/>
        <v>58947.36855773072</v>
      </c>
    </row>
    <row r="22" spans="1:11" ht="12.75">
      <c r="A22" s="23" t="s">
        <v>33</v>
      </c>
      <c r="B22" s="41" t="s">
        <v>63</v>
      </c>
      <c r="C22" s="41"/>
      <c r="D22" s="41"/>
      <c r="E22" s="41"/>
      <c r="F22" s="24">
        <v>0</v>
      </c>
      <c r="G22" s="24">
        <v>2108.47</v>
      </c>
      <c r="H22" s="24">
        <v>0</v>
      </c>
      <c r="I22" s="24">
        <v>0</v>
      </c>
      <c r="J22" s="32"/>
      <c r="K22" s="36"/>
    </row>
    <row r="23" spans="1:11" ht="12.75">
      <c r="A23" s="26" t="s">
        <v>34</v>
      </c>
      <c r="B23" s="40" t="s">
        <v>64</v>
      </c>
      <c r="C23" s="40"/>
      <c r="D23" s="40"/>
      <c r="E23" s="40"/>
      <c r="F23" s="27">
        <v>887176.32</v>
      </c>
      <c r="G23" s="27">
        <v>984364.08</v>
      </c>
      <c r="H23" s="27">
        <f>21+28</f>
        <v>49</v>
      </c>
      <c r="I23" s="27">
        <f>20+28</f>
        <v>48</v>
      </c>
      <c r="J23" s="32">
        <f t="shared" si="0"/>
        <v>18105.63918367347</v>
      </c>
      <c r="K23" s="36">
        <f t="shared" si="1"/>
        <v>20507.585</v>
      </c>
    </row>
    <row r="24" spans="1:11" ht="12.75">
      <c r="A24" s="26" t="s">
        <v>35</v>
      </c>
      <c r="B24" s="40" t="s">
        <v>65</v>
      </c>
      <c r="C24" s="40"/>
      <c r="D24" s="40"/>
      <c r="E24" s="40"/>
      <c r="F24" s="27">
        <v>3279352.67</v>
      </c>
      <c r="G24" s="27">
        <v>3773233.16</v>
      </c>
      <c r="H24" s="27">
        <f>31.2+13.4</f>
        <v>44.6</v>
      </c>
      <c r="I24" s="27">
        <f>34.24+12.56</f>
        <v>46.800000000000004</v>
      </c>
      <c r="J24" s="32">
        <f t="shared" si="0"/>
        <v>73528.08677130044</v>
      </c>
      <c r="K24" s="36">
        <f t="shared" si="1"/>
        <v>80624.64017094017</v>
      </c>
    </row>
    <row r="25" spans="1:11" ht="12.75">
      <c r="A25" s="26" t="s">
        <v>36</v>
      </c>
      <c r="B25" s="40" t="s">
        <v>66</v>
      </c>
      <c r="C25" s="40"/>
      <c r="D25" s="40"/>
      <c r="E25" s="40"/>
      <c r="F25" s="27">
        <v>1643928.64</v>
      </c>
      <c r="G25" s="27">
        <v>1776283.9</v>
      </c>
      <c r="H25" s="27">
        <f>8+0</f>
        <v>8</v>
      </c>
      <c r="I25" s="27">
        <f>7+0</f>
        <v>7</v>
      </c>
      <c r="J25" s="32">
        <f t="shared" si="0"/>
        <v>205491.08</v>
      </c>
      <c r="K25" s="36">
        <f t="shared" si="1"/>
        <v>253754.84285714285</v>
      </c>
    </row>
    <row r="26" spans="1:11" ht="12.75">
      <c r="A26" s="26" t="s">
        <v>37</v>
      </c>
      <c r="B26" s="40" t="s">
        <v>67</v>
      </c>
      <c r="C26" s="40"/>
      <c r="D26" s="40"/>
      <c r="E26" s="40"/>
      <c r="F26" s="27">
        <v>780930.22</v>
      </c>
      <c r="G26" s="27">
        <v>683122.14</v>
      </c>
      <c r="H26" s="27">
        <f>3.03+0</f>
        <v>3.03</v>
      </c>
      <c r="I26" s="27">
        <f>3.36+0</f>
        <v>3.36</v>
      </c>
      <c r="J26" s="32">
        <f t="shared" si="0"/>
        <v>257732.74587458748</v>
      </c>
      <c r="K26" s="36">
        <f t="shared" si="1"/>
        <v>203310.16071428574</v>
      </c>
    </row>
    <row r="27" spans="1:11" ht="12.75">
      <c r="A27" s="23" t="s">
        <v>38</v>
      </c>
      <c r="B27" s="41" t="s">
        <v>68</v>
      </c>
      <c r="C27" s="41"/>
      <c r="D27" s="41"/>
      <c r="E27" s="41"/>
      <c r="F27" s="24">
        <v>7156768.89</v>
      </c>
      <c r="G27" s="24">
        <v>5480203.71</v>
      </c>
      <c r="H27" s="24">
        <v>0</v>
      </c>
      <c r="I27" s="24">
        <v>0</v>
      </c>
      <c r="J27" s="32"/>
      <c r="K27" s="36"/>
    </row>
    <row r="28" spans="1:11" ht="12.75">
      <c r="A28" s="26" t="s">
        <v>39</v>
      </c>
      <c r="B28" s="40" t="s">
        <v>69</v>
      </c>
      <c r="C28" s="40"/>
      <c r="D28" s="40"/>
      <c r="E28" s="40"/>
      <c r="F28" s="27">
        <v>123462.9</v>
      </c>
      <c r="G28" s="27">
        <v>848056.57</v>
      </c>
      <c r="H28" s="27">
        <f>2+6</f>
        <v>8</v>
      </c>
      <c r="I28" s="27">
        <f>3+11</f>
        <v>14</v>
      </c>
      <c r="J28" s="32">
        <f t="shared" si="0"/>
        <v>15432.8625</v>
      </c>
      <c r="K28" s="36">
        <f t="shared" si="1"/>
        <v>60575.46928571428</v>
      </c>
    </row>
    <row r="29" spans="1:11" ht="12.75">
      <c r="A29" s="26" t="s">
        <v>40</v>
      </c>
      <c r="B29" s="40" t="s">
        <v>70</v>
      </c>
      <c r="C29" s="40"/>
      <c r="D29" s="40"/>
      <c r="E29" s="40"/>
      <c r="F29" s="27">
        <v>323769194</v>
      </c>
      <c r="G29" s="27">
        <v>332484067</v>
      </c>
      <c r="H29" s="27">
        <f>1170+95</f>
        <v>1265</v>
      </c>
      <c r="I29" s="27">
        <f>1153+215</f>
        <v>1368</v>
      </c>
      <c r="J29" s="32">
        <f t="shared" si="0"/>
        <v>255944.02687747034</v>
      </c>
      <c r="K29" s="36">
        <f t="shared" si="1"/>
        <v>243043.90862573098</v>
      </c>
    </row>
    <row r="30" spans="1:11" ht="12.75">
      <c r="A30" s="23" t="s">
        <v>41</v>
      </c>
      <c r="B30" s="41" t="s">
        <v>71</v>
      </c>
      <c r="C30" s="41"/>
      <c r="D30" s="41"/>
      <c r="E30" s="41"/>
      <c r="F30" s="24">
        <v>18223516.4</v>
      </c>
      <c r="G30" s="24">
        <v>23260695.01</v>
      </c>
      <c r="H30" s="24">
        <f>82+17</f>
        <v>99</v>
      </c>
      <c r="I30" s="24">
        <v>0</v>
      </c>
      <c r="J30" s="32">
        <f t="shared" si="0"/>
        <v>184075.92323232323</v>
      </c>
      <c r="K30" s="36"/>
    </row>
  </sheetData>
  <mergeCells count="31">
    <mergeCell ref="B11:E11"/>
    <mergeCell ref="B12:E12"/>
    <mergeCell ref="B3:E3"/>
    <mergeCell ref="B15:E15"/>
    <mergeCell ref="B9:E9"/>
    <mergeCell ref="B10:E10"/>
    <mergeCell ref="B7:E7"/>
    <mergeCell ref="B8:E8"/>
    <mergeCell ref="B13:E13"/>
    <mergeCell ref="B14:E14"/>
    <mergeCell ref="J2:K2"/>
    <mergeCell ref="H2:I2"/>
    <mergeCell ref="A2:G2"/>
    <mergeCell ref="B6:E6"/>
    <mergeCell ref="B4:E4"/>
    <mergeCell ref="B5:E5"/>
    <mergeCell ref="B28:E28"/>
    <mergeCell ref="B29:E29"/>
    <mergeCell ref="B30:E30"/>
    <mergeCell ref="B18:E18"/>
    <mergeCell ref="B27:E27"/>
    <mergeCell ref="B23:E23"/>
    <mergeCell ref="B24:E24"/>
    <mergeCell ref="B26:E26"/>
    <mergeCell ref="B19:E19"/>
    <mergeCell ref="B20:E20"/>
    <mergeCell ref="B21:E21"/>
    <mergeCell ref="B22:E22"/>
    <mergeCell ref="B25:E25"/>
    <mergeCell ref="B16:E16"/>
    <mergeCell ref="B17:E17"/>
  </mergeCells>
  <conditionalFormatting sqref="F4:I30">
    <cfRule type="cellIs" priority="1" dxfId="0" operator="equal" stopIfTrue="1">
      <formula>0</formula>
    </cfRule>
  </conditionalFormatting>
  <conditionalFormatting sqref="J4:K30">
    <cfRule type="cellIs" priority="2" dxfId="1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36"/>
  <sheetViews>
    <sheetView tabSelected="1" workbookViewId="0" topLeftCell="A1">
      <selection activeCell="C25" sqref="C25:F25"/>
    </sheetView>
  </sheetViews>
  <sheetFormatPr defaultColWidth="11.421875" defaultRowHeight="12.75"/>
  <cols>
    <col min="3" max="3" width="13.8515625" style="0" customWidth="1"/>
    <col min="4" max="4" width="12.00390625" style="0" customWidth="1"/>
    <col min="5" max="5" width="15.57421875" style="0" customWidth="1"/>
    <col min="6" max="6" width="8.28125" style="0" customWidth="1"/>
    <col min="7" max="7" width="16.28125" style="0" customWidth="1"/>
    <col min="8" max="8" width="12.8515625" style="0" customWidth="1"/>
    <col min="9" max="10" width="11.421875" style="22" customWidth="1"/>
    <col min="11" max="11" width="6.421875" style="0" customWidth="1"/>
    <col min="12" max="12" width="10.8515625" style="0" customWidth="1"/>
    <col min="13" max="13" width="10.00390625" style="0" customWidth="1"/>
    <col min="20" max="21" width="13.7109375" style="0" customWidth="1"/>
  </cols>
  <sheetData>
    <row r="1" spans="2:10" ht="16.5" thickBot="1">
      <c r="B1" s="46" t="s">
        <v>10</v>
      </c>
      <c r="C1" s="47"/>
      <c r="D1" s="47"/>
      <c r="E1" s="47"/>
      <c r="F1" s="47"/>
      <c r="G1" s="48"/>
      <c r="H1" s="49" t="s">
        <v>11</v>
      </c>
      <c r="I1" s="34">
        <f>I19</f>
        <v>30000</v>
      </c>
      <c r="J1"/>
    </row>
    <row r="2" spans="2:10" ht="13.5" thickBot="1">
      <c r="B2" s="8"/>
      <c r="C2" s="9"/>
      <c r="D2" s="19" t="s">
        <v>9</v>
      </c>
      <c r="E2" s="9"/>
      <c r="F2" s="9"/>
      <c r="G2" s="10"/>
      <c r="H2" s="50"/>
      <c r="I2" s="34">
        <f aca="true" t="shared" si="0" ref="I2:I15">I20</f>
        <v>36166.666666666664</v>
      </c>
      <c r="J2"/>
    </row>
    <row r="3" spans="2:10" ht="13.5" thickBot="1">
      <c r="B3" s="14" t="s">
        <v>0</v>
      </c>
      <c r="C3" s="20">
        <v>114</v>
      </c>
      <c r="D3" s="2"/>
      <c r="E3" s="9"/>
      <c r="F3" s="17" t="s">
        <v>7</v>
      </c>
      <c r="G3" s="6">
        <f>D8*C7/D9</f>
        <v>27.2859800639125</v>
      </c>
      <c r="I3" s="34">
        <f t="shared" si="0"/>
        <v>41666.666666666664</v>
      </c>
      <c r="J3"/>
    </row>
    <row r="4" spans="2:10" ht="13.5" thickBot="1">
      <c r="B4" s="15" t="s">
        <v>4</v>
      </c>
      <c r="C4" s="21">
        <v>15</v>
      </c>
      <c r="D4" s="3"/>
      <c r="E4" s="9"/>
      <c r="F4" s="11"/>
      <c r="G4" s="10"/>
      <c r="I4" s="34">
        <f t="shared" si="0"/>
        <v>42929.43619047619</v>
      </c>
      <c r="J4"/>
    </row>
    <row r="5" spans="2:10" ht="13.5" thickBot="1">
      <c r="B5" s="15" t="s">
        <v>1</v>
      </c>
      <c r="C5" s="38">
        <f>AVERAGE(I1:I15)</f>
        <v>53535.3750891492</v>
      </c>
      <c r="D5" s="3">
        <f>POWER(C5,2)</f>
        <v>2866036385.935897</v>
      </c>
      <c r="E5" s="9"/>
      <c r="F5" s="17" t="s">
        <v>4</v>
      </c>
      <c r="G5" s="6">
        <f>G3/(1+G3/C3)</f>
        <v>22.016350991647617</v>
      </c>
      <c r="I5" s="34">
        <f t="shared" si="0"/>
        <v>49090.90909090909</v>
      </c>
      <c r="J5"/>
    </row>
    <row r="6" spans="2:10" ht="12.75" customHeight="1" thickBot="1">
      <c r="B6" s="15" t="s">
        <v>2</v>
      </c>
      <c r="C6" s="1">
        <f>VAR(I1:I15)</f>
        <v>203567814.68423244</v>
      </c>
      <c r="D6" s="3"/>
      <c r="E6" s="9"/>
      <c r="F6" s="11"/>
      <c r="G6" s="10"/>
      <c r="I6" s="34">
        <f t="shared" si="0"/>
        <v>50000</v>
      </c>
      <c r="J6"/>
    </row>
    <row r="7" spans="2:10" ht="12.75" customHeight="1" thickBot="1">
      <c r="B7" s="15" t="s">
        <v>3</v>
      </c>
      <c r="C7" s="1">
        <f>C6/D5</f>
        <v>0.07102764489773143</v>
      </c>
      <c r="D7" s="3"/>
      <c r="E7" s="9"/>
      <c r="F7" s="17" t="s">
        <v>8</v>
      </c>
      <c r="G7" s="7">
        <f>INT(G5)+1</f>
        <v>23</v>
      </c>
      <c r="I7" s="34">
        <f t="shared" si="0"/>
        <v>50000</v>
      </c>
      <c r="J7"/>
    </row>
    <row r="8" spans="2:10" ht="12.75">
      <c r="B8" s="15" t="s">
        <v>5</v>
      </c>
      <c r="C8" s="1">
        <v>1.96</v>
      </c>
      <c r="D8" s="3">
        <f>POWER(C8,2)</f>
        <v>3.8415999999999997</v>
      </c>
      <c r="E8" s="9"/>
      <c r="F8" s="18"/>
      <c r="G8" s="10"/>
      <c r="I8" s="34">
        <f t="shared" si="0"/>
        <v>50787.878787878784</v>
      </c>
      <c r="J8"/>
    </row>
    <row r="9" spans="2:10" ht="13.5" thickBot="1">
      <c r="B9" s="16" t="s">
        <v>6</v>
      </c>
      <c r="C9" s="4">
        <v>0.1</v>
      </c>
      <c r="D9" s="5">
        <f>POWER(C9,2)</f>
        <v>0.010000000000000002</v>
      </c>
      <c r="E9" s="12"/>
      <c r="F9" s="12"/>
      <c r="G9" s="13"/>
      <c r="I9" s="34">
        <f t="shared" si="0"/>
        <v>53071.1975</v>
      </c>
      <c r="J9"/>
    </row>
    <row r="10" spans="9:10" ht="12.75">
      <c r="I10" s="34">
        <f t="shared" si="0"/>
        <v>54166.666666666664</v>
      </c>
      <c r="J10"/>
    </row>
    <row r="11" spans="9:10" ht="12.75">
      <c r="I11" s="34">
        <f t="shared" si="0"/>
        <v>54705.882352941175</v>
      </c>
      <c r="J11"/>
    </row>
    <row r="12" spans="9:10" ht="12.75">
      <c r="I12" s="34">
        <f t="shared" si="0"/>
        <v>62154.69047058824</v>
      </c>
      <c r="J12"/>
    </row>
    <row r="13" spans="9:10" ht="12.75">
      <c r="I13" s="34">
        <f>I31</f>
        <v>71111.11111111111</v>
      </c>
      <c r="J13"/>
    </row>
    <row r="14" spans="9:10" ht="12.75">
      <c r="I14" s="34">
        <f t="shared" si="0"/>
        <v>73686.5</v>
      </c>
      <c r="J14"/>
    </row>
    <row r="15" spans="9:10" ht="12.75">
      <c r="I15" s="34">
        <f t="shared" si="0"/>
        <v>83493.02083333333</v>
      </c>
      <c r="J15"/>
    </row>
    <row r="16" spans="9:10" ht="12.75">
      <c r="I16" s="39"/>
      <c r="J16"/>
    </row>
    <row r="17" spans="9:10" ht="12.75">
      <c r="I17" s="39"/>
      <c r="J17"/>
    </row>
    <row r="18" spans="7:10" ht="12.75">
      <c r="G18" s="29" t="s">
        <v>90</v>
      </c>
      <c r="H18" s="28" t="s">
        <v>72</v>
      </c>
      <c r="I18" s="30" t="s">
        <v>73</v>
      </c>
      <c r="J18" s="18"/>
    </row>
    <row r="19" spans="3:10" ht="12.75">
      <c r="C19" s="51" t="s">
        <v>78</v>
      </c>
      <c r="D19" s="51"/>
      <c r="E19" s="51"/>
      <c r="F19" s="51"/>
      <c r="G19" s="33">
        <v>240000</v>
      </c>
      <c r="H19" s="31">
        <v>8</v>
      </c>
      <c r="I19" s="34">
        <f aca="true" t="shared" si="1" ref="I19:I33">G19/H19</f>
        <v>30000</v>
      </c>
      <c r="J19"/>
    </row>
    <row r="20" spans="3:10" ht="12.75">
      <c r="C20" s="51" t="s">
        <v>79</v>
      </c>
      <c r="D20" s="51"/>
      <c r="E20" s="51"/>
      <c r="F20" s="51"/>
      <c r="G20" s="33">
        <v>217000</v>
      </c>
      <c r="H20" s="31">
        <v>6</v>
      </c>
      <c r="I20" s="34">
        <f t="shared" si="1"/>
        <v>36166.666666666664</v>
      </c>
      <c r="J20"/>
    </row>
    <row r="21" spans="3:10" ht="12.75">
      <c r="C21" s="51" t="s">
        <v>75</v>
      </c>
      <c r="D21" s="51"/>
      <c r="E21" s="51"/>
      <c r="F21" s="51"/>
      <c r="G21" s="33">
        <v>3000000</v>
      </c>
      <c r="H21" s="31">
        <v>72</v>
      </c>
      <c r="I21" s="34">
        <f t="shared" si="1"/>
        <v>41666.666666666664</v>
      </c>
      <c r="J21"/>
    </row>
    <row r="22" spans="3:10" ht="12.75">
      <c r="C22" s="51" t="s">
        <v>84</v>
      </c>
      <c r="D22" s="51"/>
      <c r="E22" s="51"/>
      <c r="F22" s="51"/>
      <c r="G22" s="33">
        <v>901518.16</v>
      </c>
      <c r="H22" s="31">
        <v>21</v>
      </c>
      <c r="I22" s="34">
        <f t="shared" si="1"/>
        <v>42929.43619047619</v>
      </c>
      <c r="J22"/>
    </row>
    <row r="23" spans="3:10" ht="12.75">
      <c r="C23" s="51" t="s">
        <v>83</v>
      </c>
      <c r="D23" s="51"/>
      <c r="E23" s="51"/>
      <c r="F23" s="51"/>
      <c r="G23" s="33">
        <v>540000</v>
      </c>
      <c r="H23" s="31">
        <v>11</v>
      </c>
      <c r="I23" s="34">
        <f t="shared" si="1"/>
        <v>49090.90909090909</v>
      </c>
      <c r="J23"/>
    </row>
    <row r="24" spans="3:10" ht="12.75">
      <c r="C24" s="51" t="s">
        <v>81</v>
      </c>
      <c r="D24" s="51"/>
      <c r="E24" s="51"/>
      <c r="F24" s="51"/>
      <c r="G24" s="33">
        <v>950000</v>
      </c>
      <c r="H24" s="31">
        <v>19</v>
      </c>
      <c r="I24" s="34">
        <f t="shared" si="1"/>
        <v>50000</v>
      </c>
      <c r="J24"/>
    </row>
    <row r="25" spans="3:10" ht="12.75">
      <c r="C25" s="51" t="s">
        <v>87</v>
      </c>
      <c r="D25" s="51"/>
      <c r="E25" s="51"/>
      <c r="F25" s="51"/>
      <c r="G25" s="33">
        <v>500000</v>
      </c>
      <c r="H25" s="31">
        <v>10</v>
      </c>
      <c r="I25" s="34">
        <f t="shared" si="1"/>
        <v>50000</v>
      </c>
      <c r="J25"/>
    </row>
    <row r="26" spans="3:10" ht="12.75">
      <c r="C26" s="51" t="s">
        <v>76</v>
      </c>
      <c r="D26" s="51"/>
      <c r="E26" s="51"/>
      <c r="F26" s="51"/>
      <c r="G26" s="33">
        <v>1676000</v>
      </c>
      <c r="H26" s="31">
        <v>33</v>
      </c>
      <c r="I26" s="34">
        <f t="shared" si="1"/>
        <v>50787.878787878784</v>
      </c>
      <c r="J26"/>
    </row>
    <row r="27" spans="3:10" ht="12.75">
      <c r="C27" s="51" t="s">
        <v>86</v>
      </c>
      <c r="D27" s="51"/>
      <c r="E27" s="51"/>
      <c r="F27" s="51"/>
      <c r="G27" s="33">
        <v>636854.37</v>
      </c>
      <c r="H27" s="31">
        <v>12</v>
      </c>
      <c r="I27" s="34">
        <f t="shared" si="1"/>
        <v>53071.1975</v>
      </c>
      <c r="J27"/>
    </row>
    <row r="28" spans="3:10" ht="12.75">
      <c r="C28" s="51" t="s">
        <v>82</v>
      </c>
      <c r="D28" s="51"/>
      <c r="E28" s="51"/>
      <c r="F28" s="51"/>
      <c r="G28" s="33">
        <v>1625000</v>
      </c>
      <c r="H28" s="31">
        <v>30</v>
      </c>
      <c r="I28" s="34">
        <f t="shared" si="1"/>
        <v>54166.666666666664</v>
      </c>
      <c r="J28"/>
    </row>
    <row r="29" spans="3:10" ht="12.75">
      <c r="C29" s="51" t="s">
        <v>89</v>
      </c>
      <c r="D29" s="51"/>
      <c r="E29" s="51"/>
      <c r="F29" s="51"/>
      <c r="G29" s="33">
        <v>930000</v>
      </c>
      <c r="H29" s="31">
        <v>17</v>
      </c>
      <c r="I29" s="34">
        <f t="shared" si="1"/>
        <v>54705.882352941175</v>
      </c>
      <c r="J29"/>
    </row>
    <row r="30" spans="3:10" ht="12.75">
      <c r="C30" s="51" t="s">
        <v>88</v>
      </c>
      <c r="D30" s="51"/>
      <c r="E30" s="51"/>
      <c r="F30" s="51"/>
      <c r="G30" s="33">
        <v>10566297.38</v>
      </c>
      <c r="H30" s="31">
        <v>170</v>
      </c>
      <c r="I30" s="34">
        <f t="shared" si="1"/>
        <v>62154.69047058824</v>
      </c>
      <c r="J30"/>
    </row>
    <row r="31" spans="3:10" ht="12.75">
      <c r="C31" s="51" t="s">
        <v>80</v>
      </c>
      <c r="D31" s="51"/>
      <c r="E31" s="51"/>
      <c r="F31" s="51"/>
      <c r="G31" s="33">
        <v>9600000</v>
      </c>
      <c r="H31" s="31">
        <v>135</v>
      </c>
      <c r="I31" s="34">
        <f t="shared" si="1"/>
        <v>71111.11111111111</v>
      </c>
      <c r="J31"/>
    </row>
    <row r="32" spans="3:10" ht="12.75">
      <c r="C32" s="51" t="s">
        <v>77</v>
      </c>
      <c r="D32" s="51"/>
      <c r="E32" s="51"/>
      <c r="F32" s="51"/>
      <c r="G32" s="33">
        <v>589492</v>
      </c>
      <c r="H32" s="31">
        <v>8</v>
      </c>
      <c r="I32" s="34">
        <f t="shared" si="1"/>
        <v>73686.5</v>
      </c>
      <c r="J32"/>
    </row>
    <row r="33" spans="3:10" ht="12.75">
      <c r="C33" s="51" t="s">
        <v>85</v>
      </c>
      <c r="D33" s="51"/>
      <c r="E33" s="51"/>
      <c r="F33" s="51"/>
      <c r="G33" s="33">
        <v>4007665</v>
      </c>
      <c r="H33" s="31">
        <v>48</v>
      </c>
      <c r="I33" s="34">
        <f t="shared" si="1"/>
        <v>83493.02083333333</v>
      </c>
      <c r="J33" s="18"/>
    </row>
    <row r="34" spans="9:10" ht="12.75">
      <c r="I34" s="18"/>
      <c r="J34" s="18"/>
    </row>
    <row r="35" spans="9:10" ht="12.75">
      <c r="I35" s="18"/>
      <c r="J35" s="18"/>
    </row>
    <row r="36" spans="9:10" ht="12.75">
      <c r="I36" s="18"/>
      <c r="J36" s="18"/>
    </row>
    <row r="37" spans="9:10" ht="12.75">
      <c r="I37" s="18"/>
      <c r="J37" s="18"/>
    </row>
    <row r="38" spans="9:10" ht="12.75">
      <c r="I38" s="18"/>
      <c r="J38" s="18"/>
    </row>
    <row r="39" spans="9:10" ht="12.75">
      <c r="I39" s="18"/>
      <c r="J39" s="18"/>
    </row>
    <row r="40" spans="9:10" ht="12.75">
      <c r="I40" s="18"/>
      <c r="J40" s="18"/>
    </row>
    <row r="41" spans="9:10" ht="12.75">
      <c r="I41" s="18"/>
      <c r="J41" s="18"/>
    </row>
    <row r="42" spans="9:10" ht="12.75">
      <c r="I42" s="18"/>
      <c r="J42" s="18"/>
    </row>
    <row r="43" spans="9:10" ht="12.75">
      <c r="I43" s="18"/>
      <c r="J43" s="18"/>
    </row>
    <row r="44" spans="9:10" ht="12.75">
      <c r="I44" s="18"/>
      <c r="J44" s="18"/>
    </row>
    <row r="45" spans="9:10" ht="12.75">
      <c r="I45" s="18"/>
      <c r="J45" s="18"/>
    </row>
    <row r="46" spans="9:10" ht="12.75">
      <c r="I46" s="18"/>
      <c r="J46" s="18"/>
    </row>
    <row r="47" spans="9:10" ht="12.75">
      <c r="I47" s="18"/>
      <c r="J47" s="18"/>
    </row>
    <row r="48" spans="9:10" ht="12.75">
      <c r="I48" s="18"/>
      <c r="J48" s="18"/>
    </row>
    <row r="49" spans="9:10" ht="12.75">
      <c r="I49" s="18"/>
      <c r="J49" s="18"/>
    </row>
    <row r="50" spans="9:10" ht="12.75">
      <c r="I50" s="18"/>
      <c r="J50" s="18"/>
    </row>
    <row r="51" spans="9:10" ht="12.75">
      <c r="I51" s="18"/>
      <c r="J51" s="18"/>
    </row>
    <row r="52" spans="9:10" ht="12.75">
      <c r="I52" s="18"/>
      <c r="J52" s="18"/>
    </row>
    <row r="53" spans="9:10" ht="12.75">
      <c r="I53" s="18"/>
      <c r="J53" s="18"/>
    </row>
    <row r="54" spans="9:10" ht="12.75">
      <c r="I54" s="18"/>
      <c r="J54" s="18"/>
    </row>
    <row r="55" spans="9:10" ht="12.75">
      <c r="I55" s="18"/>
      <c r="J55" s="18"/>
    </row>
    <row r="56" spans="9:10" ht="12.75">
      <c r="I56" s="18"/>
      <c r="J56" s="18"/>
    </row>
    <row r="57" spans="9:10" ht="12.75">
      <c r="I57" s="18"/>
      <c r="J57" s="18"/>
    </row>
    <row r="58" spans="9:10" ht="12.75">
      <c r="I58" s="18"/>
      <c r="J58" s="18"/>
    </row>
    <row r="59" spans="9:10" ht="12.75">
      <c r="I59" s="18"/>
      <c r="J59" s="18"/>
    </row>
    <row r="60" spans="9:10" ht="12.75">
      <c r="I60" s="18"/>
      <c r="J60" s="18"/>
    </row>
    <row r="61" spans="9:10" ht="12.75">
      <c r="I61" s="18"/>
      <c r="J61" s="18"/>
    </row>
    <row r="62" spans="9:10" ht="12.75">
      <c r="I62" s="18"/>
      <c r="J62" s="18"/>
    </row>
    <row r="63" spans="9:10" ht="12.75">
      <c r="I63" s="18"/>
      <c r="J63" s="18"/>
    </row>
    <row r="64" spans="9:10" ht="12.75">
      <c r="I64" s="18"/>
      <c r="J64" s="18"/>
    </row>
    <row r="65" spans="9:10" ht="12.75">
      <c r="I65" s="18"/>
      <c r="J65" s="18"/>
    </row>
    <row r="66" spans="9:10" ht="12.75">
      <c r="I66" s="18"/>
      <c r="J66" s="18"/>
    </row>
    <row r="67" spans="9:10" ht="12.75">
      <c r="I67" s="18"/>
      <c r="J67" s="18"/>
    </row>
    <row r="68" spans="9:10" ht="12.75">
      <c r="I68" s="18"/>
      <c r="J68" s="18"/>
    </row>
    <row r="69" spans="9:10" ht="12.75">
      <c r="I69" s="18"/>
      <c r="J69" s="18"/>
    </row>
    <row r="70" spans="9:10" ht="12.75">
      <c r="I70" s="18"/>
      <c r="J70" s="18"/>
    </row>
    <row r="71" spans="9:10" ht="12.75">
      <c r="I71" s="18"/>
      <c r="J71" s="18"/>
    </row>
    <row r="72" spans="9:10" ht="12.75">
      <c r="I72" s="18"/>
      <c r="J72" s="18"/>
    </row>
    <row r="73" spans="9:10" ht="12.75">
      <c r="I73" s="18"/>
      <c r="J73" s="18"/>
    </row>
    <row r="74" spans="9:10" ht="12.75">
      <c r="I74" s="18"/>
      <c r="J74" s="18"/>
    </row>
    <row r="75" spans="9:10" ht="12.75">
      <c r="I75" s="18"/>
      <c r="J75" s="18"/>
    </row>
    <row r="76" spans="9:10" ht="12.75">
      <c r="I76" s="18"/>
      <c r="J76" s="18"/>
    </row>
    <row r="77" spans="9:10" ht="12.75">
      <c r="I77" s="18"/>
      <c r="J77" s="18"/>
    </row>
    <row r="78" spans="9:10" ht="12.75">
      <c r="I78" s="18"/>
      <c r="J78" s="18"/>
    </row>
    <row r="79" spans="9:10" ht="12.75">
      <c r="I79" s="18"/>
      <c r="J79" s="18"/>
    </row>
    <row r="80" spans="9:10" ht="12.75">
      <c r="I80" s="18"/>
      <c r="J80" s="18"/>
    </row>
    <row r="81" spans="9:10" ht="12.75">
      <c r="I81" s="18"/>
      <c r="J81" s="18"/>
    </row>
    <row r="82" spans="9:10" ht="12.75">
      <c r="I82" s="18"/>
      <c r="J82" s="18"/>
    </row>
    <row r="83" spans="9:10" ht="12.75">
      <c r="I83" s="18"/>
      <c r="J83" s="18"/>
    </row>
    <row r="84" spans="9:10" ht="12.75">
      <c r="I84" s="18"/>
      <c r="J84" s="18"/>
    </row>
    <row r="85" spans="9:10" ht="12.75">
      <c r="I85" s="18"/>
      <c r="J85" s="18"/>
    </row>
    <row r="86" spans="9:10" ht="12.75">
      <c r="I86" s="18"/>
      <c r="J86" s="18"/>
    </row>
    <row r="87" spans="9:10" ht="12.75">
      <c r="I87" s="18"/>
      <c r="J87" s="18"/>
    </row>
    <row r="88" spans="9:10" ht="12.75">
      <c r="I88" s="18"/>
      <c r="J88" s="18"/>
    </row>
    <row r="89" spans="9:10" ht="12.75">
      <c r="I89" s="18"/>
      <c r="J89" s="18"/>
    </row>
    <row r="90" spans="9:10" ht="12.75">
      <c r="I90" s="18"/>
      <c r="J90" s="18"/>
    </row>
    <row r="91" spans="9:10" ht="12.75">
      <c r="I91" s="18"/>
      <c r="J91" s="18"/>
    </row>
    <row r="92" spans="9:10" ht="12.75">
      <c r="I92" s="18"/>
      <c r="J92" s="18"/>
    </row>
    <row r="93" spans="9:10" ht="12.75">
      <c r="I93" s="18"/>
      <c r="J93" s="18"/>
    </row>
    <row r="94" spans="9:10" ht="12.75">
      <c r="I94" s="18"/>
      <c r="J94" s="18"/>
    </row>
    <row r="95" spans="9:10" ht="12.75">
      <c r="I95" s="18"/>
      <c r="J95" s="18"/>
    </row>
    <row r="96" spans="9:10" ht="12.75">
      <c r="I96" s="18"/>
      <c r="J96" s="18"/>
    </row>
    <row r="97" spans="9:10" ht="12.75">
      <c r="I97" s="18"/>
      <c r="J97" s="18"/>
    </row>
    <row r="98" spans="9:10" ht="12.75">
      <c r="I98" s="18"/>
      <c r="J98" s="18"/>
    </row>
    <row r="99" spans="9:10" ht="12.75">
      <c r="I99" s="18"/>
      <c r="J99" s="18"/>
    </row>
    <row r="100" spans="9:10" ht="12.75">
      <c r="I100" s="18"/>
      <c r="J100" s="18"/>
    </row>
    <row r="101" spans="9:10" ht="12.75">
      <c r="I101" s="18"/>
      <c r="J101" s="18"/>
    </row>
    <row r="102" spans="9:10" ht="12.75">
      <c r="I102" s="18"/>
      <c r="J102" s="18"/>
    </row>
    <row r="103" spans="9:10" ht="12.75">
      <c r="I103" s="18"/>
      <c r="J103" s="18"/>
    </row>
    <row r="104" spans="9:10" ht="12.75">
      <c r="I104" s="18"/>
      <c r="J104" s="18"/>
    </row>
    <row r="105" spans="9:10" ht="12.75">
      <c r="I105" s="18"/>
      <c r="J105" s="18"/>
    </row>
    <row r="106" spans="9:10" ht="12.75">
      <c r="I106" s="18"/>
      <c r="J106" s="18"/>
    </row>
    <row r="107" spans="9:10" ht="12.75">
      <c r="I107" s="18"/>
      <c r="J107" s="18"/>
    </row>
    <row r="108" spans="9:10" ht="12.75">
      <c r="I108" s="18"/>
      <c r="J108" s="18"/>
    </row>
    <row r="109" spans="9:10" ht="12.75">
      <c r="I109" s="18"/>
      <c r="J109" s="18"/>
    </row>
    <row r="110" spans="9:10" ht="12.75">
      <c r="I110" s="18"/>
      <c r="J110" s="18"/>
    </row>
    <row r="111" spans="9:10" ht="12.75">
      <c r="I111" s="18"/>
      <c r="J111" s="18"/>
    </row>
    <row r="112" spans="9:10" ht="12.75">
      <c r="I112" s="18"/>
      <c r="J112" s="18"/>
    </row>
    <row r="113" spans="9:10" ht="12.75">
      <c r="I113" s="18"/>
      <c r="J113" s="18"/>
    </row>
    <row r="114" spans="9:10" ht="12.75">
      <c r="I114" s="18"/>
      <c r="J114" s="18"/>
    </row>
    <row r="115" spans="9:10" ht="12.75">
      <c r="I115" s="18"/>
      <c r="J115" s="18"/>
    </row>
    <row r="116" spans="9:10" ht="12.75">
      <c r="I116" s="18"/>
      <c r="J116" s="18"/>
    </row>
    <row r="117" spans="9:10" ht="12.75">
      <c r="I117" s="18"/>
      <c r="J117" s="18"/>
    </row>
    <row r="118" spans="9:10" ht="12.75">
      <c r="I118" s="18"/>
      <c r="J118" s="18"/>
    </row>
    <row r="119" spans="9:10" ht="12.75">
      <c r="I119" s="18"/>
      <c r="J119" s="18"/>
    </row>
    <row r="120" spans="9:10" ht="12.75">
      <c r="I120" s="18"/>
      <c r="J120" s="18"/>
    </row>
    <row r="121" spans="9:10" ht="12.75">
      <c r="I121" s="18"/>
      <c r="J121" s="18"/>
    </row>
    <row r="122" spans="9:10" ht="12.75">
      <c r="I122" s="18"/>
      <c r="J122" s="18"/>
    </row>
    <row r="123" spans="9:10" ht="12.75">
      <c r="I123" s="18"/>
      <c r="J123" s="18"/>
    </row>
    <row r="124" spans="9:10" ht="12.75">
      <c r="I124" s="18"/>
      <c r="J124" s="18"/>
    </row>
    <row r="125" spans="9:10" ht="12.75">
      <c r="I125" s="18"/>
      <c r="J125" s="18"/>
    </row>
    <row r="126" spans="9:10" ht="12.75">
      <c r="I126" s="18"/>
      <c r="J126" s="18"/>
    </row>
    <row r="127" spans="9:10" ht="12.75">
      <c r="I127" s="18"/>
      <c r="J127" s="18"/>
    </row>
    <row r="128" spans="9:10" ht="12.75">
      <c r="I128" s="18"/>
      <c r="J128" s="18"/>
    </row>
    <row r="129" spans="9:10" ht="12.75">
      <c r="I129" s="18"/>
      <c r="J129" s="18"/>
    </row>
    <row r="130" spans="9:10" ht="12.75">
      <c r="I130" s="18"/>
      <c r="J130" s="18"/>
    </row>
    <row r="131" spans="9:10" ht="12.75">
      <c r="I131" s="18"/>
      <c r="J131" s="18"/>
    </row>
    <row r="132" spans="9:10" ht="12.75">
      <c r="I132" s="18"/>
      <c r="J132" s="18"/>
    </row>
    <row r="133" spans="9:10" ht="12.75">
      <c r="I133" s="18"/>
      <c r="J133" s="18"/>
    </row>
    <row r="134" spans="9:10" ht="12.75">
      <c r="I134" s="18"/>
      <c r="J134" s="18"/>
    </row>
    <row r="135" spans="9:10" ht="12.75">
      <c r="I135" s="18"/>
      <c r="J135" s="18"/>
    </row>
    <row r="136" spans="9:10" ht="12.75">
      <c r="I136" s="18"/>
      <c r="J136" s="18"/>
    </row>
  </sheetData>
  <mergeCells count="17">
    <mergeCell ref="C21:F21"/>
    <mergeCell ref="C22:F22"/>
    <mergeCell ref="C33:F33"/>
    <mergeCell ref="C29:F29"/>
    <mergeCell ref="C30:F30"/>
    <mergeCell ref="C31:F31"/>
    <mergeCell ref="C32:F32"/>
    <mergeCell ref="B1:G1"/>
    <mergeCell ref="H1:H2"/>
    <mergeCell ref="C24:F24"/>
    <mergeCell ref="C28:F28"/>
    <mergeCell ref="C19:F19"/>
    <mergeCell ref="C26:F26"/>
    <mergeCell ref="C25:F25"/>
    <mergeCell ref="C27:F27"/>
    <mergeCell ref="C23:F23"/>
    <mergeCell ref="C20:F20"/>
  </mergeCells>
  <conditionalFormatting sqref="G19:H33">
    <cfRule type="cellIs" priority="1" dxfId="0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905511811023623" footer="0.5905511811023623"/>
  <pageSetup horizontalDpi="600" verticalDpi="600" orientation="landscape" paperSize="9" r:id="rId1"/>
  <headerFooter alignWithMargins="0">
    <oddHeader>&amp;R&amp;"Arial,Negrita"CÁLCULO DEL TAMAÑO DE LA MUESTRA</oddHeader>
    <oddFooter>&amp;L&amp;"Arial,Negrita"ESTUDIO SOBRE NECESIDADES DEL SECTOR AUTOMOCIÓN EN ANDALUCÍA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 SÁNCHEZ</dc:creator>
  <cp:keywords/>
  <dc:description/>
  <cp:lastModifiedBy>LUISA SANCHEZ</cp:lastModifiedBy>
  <cp:lastPrinted>2004-06-06T15:29:49Z</cp:lastPrinted>
  <dcterms:created xsi:type="dcterms:W3CDTF">2002-11-12T08:53:33Z</dcterms:created>
  <dcterms:modified xsi:type="dcterms:W3CDTF">2004-06-06T15:30:59Z</dcterms:modified>
  <cp:category/>
  <cp:version/>
  <cp:contentType/>
  <cp:contentStatus/>
</cp:coreProperties>
</file>